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-my.sharepoint.com/personal/karl_visser_usda_gov/Documents/NRCS Tech Docs/TR/TR60_Dam/Breach Hydrograph XL Spreadsheet/"/>
    </mc:Choice>
  </mc:AlternateContent>
  <xr:revisionPtr revIDLastSave="4" documentId="11_20345FB0573192F671EF5772C680D2B06BEC0F4E" xr6:coauthVersionLast="46" xr6:coauthVersionMax="46" xr10:uidLastSave="{CE4A26A5-FC21-4618-B8DD-34223AA0F39B}"/>
  <bookViews>
    <workbookView xWindow="-120" yWindow="-120" windowWidth="29040" windowHeight="15840" activeTab="1" xr2:uid="{00000000-000D-0000-FFFF-FFFF00000000}"/>
  </bookViews>
  <sheets>
    <sheet name="Input" sheetId="1" r:id="rId1"/>
    <sheet name="TR-60 Breach Qmax" sheetId="2" r:id="rId2"/>
    <sheet name="Breach Hydrograph" sheetId="3" r:id="rId3"/>
    <sheet name="Flow Chart" sheetId="4" r:id="rId4"/>
    <sheet name="VersionNotes" sheetId="5" r:id="rId5"/>
  </sheets>
  <definedNames>
    <definedName name="A">'TR-60 Breach Qmax'!$D$18</definedName>
    <definedName name="Br">'TR-60 Breach Qmax'!$D$20</definedName>
    <definedName name="Case">'TR-60 Breach Qmax'!#REF!</definedName>
    <definedName name="Case1">'TR-60 Breach Qmax'!$C$32</definedName>
    <definedName name="Case2">'TR-60 Breach Qmax'!$C$33</definedName>
    <definedName name="Case3">'TR-60 Breach Qmax'!$C$34</definedName>
    <definedName name="Case4">'TR-60 Breach Qmax'!$C$35</definedName>
    <definedName name="HW">'TR-60 Breach Qmax'!$D$17</definedName>
    <definedName name="L">'TR-60 Breach Qmax'!$B$12</definedName>
    <definedName name="LowBnd">'TR-60 Breach Qmax'!$B$27</definedName>
    <definedName name="_xlnm.Print_Area" localSheetId="3">'Flow Chart'!$A$1:$M$40</definedName>
    <definedName name="_xlnm.Print_Area" localSheetId="0">Input!$A$1:$M$41</definedName>
    <definedName name="_xlnm.Print_Area" localSheetId="1">'TR-60 Breach Qmax'!$A$1:$G$66</definedName>
    <definedName name="Qmax">'TR-60 Breach Qmax'!$D$29</definedName>
    <definedName name="Rnd">'TR-60 Breach Qmax'!#REF!</definedName>
    <definedName name="T">'TR-60 Breach Qmax'!$D$19</definedName>
    <definedName name="UpBnd">'TR-60 Breach Qmax'!$B$25</definedName>
    <definedName name="Value">'TR-60 Breach Qmax'!$B$26</definedName>
    <definedName name="Vs">'TR-60 Breach Qmax'!$D$16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4" i="1"/>
  <c r="E3" i="2" l="1"/>
  <c r="G3" i="2"/>
  <c r="D1" i="1" l="1"/>
  <c r="G2" i="2"/>
  <c r="C12" i="3" l="1"/>
  <c r="B11" i="2"/>
  <c r="B10" i="2"/>
  <c r="B9" i="2"/>
  <c r="B8" i="2"/>
  <c r="B7" i="2"/>
  <c r="B26" i="1"/>
  <c r="C4" i="3" s="1"/>
  <c r="G25" i="1"/>
  <c r="B2" i="2"/>
  <c r="B3" i="2"/>
  <c r="B4" i="2"/>
  <c r="E7" i="2"/>
  <c r="E9" i="2"/>
  <c r="E10" i="2"/>
  <c r="E12" i="2"/>
  <c r="E13" i="2"/>
  <c r="E8" i="2"/>
  <c r="E11" i="2"/>
  <c r="B13" i="2"/>
  <c r="D16" i="2" s="1"/>
  <c r="B12" i="2"/>
  <c r="K30" i="1"/>
  <c r="I30" i="1"/>
  <c r="H35" i="1"/>
  <c r="L35" i="1"/>
  <c r="L32" i="1"/>
  <c r="G38" i="1"/>
  <c r="F32" i="1"/>
  <c r="F28" i="1"/>
  <c r="L25" i="1"/>
  <c r="H25" i="1"/>
  <c r="J25" i="1"/>
  <c r="K11" i="1"/>
  <c r="E2" i="2"/>
  <c r="B11" i="3"/>
  <c r="A3" i="2"/>
  <c r="A2" i="2"/>
  <c r="A9" i="2"/>
  <c r="A8" i="2"/>
  <c r="A7" i="2"/>
  <c r="D2" i="2"/>
  <c r="C13" i="3" l="1"/>
  <c r="B13" i="3" s="1"/>
  <c r="B12" i="3"/>
  <c r="A1" i="3"/>
  <c r="A2" i="3"/>
  <c r="B39" i="2"/>
  <c r="B27" i="1"/>
  <c r="C5" i="3" s="1"/>
  <c r="D18" i="2"/>
  <c r="D17" i="2"/>
  <c r="C14" i="3"/>
  <c r="A25" i="2" l="1"/>
  <c r="A27" i="2"/>
  <c r="A26" i="2"/>
  <c r="C32" i="2"/>
  <c r="E32" i="2" s="1"/>
  <c r="D23" i="2"/>
  <c r="D27" i="2"/>
  <c r="B23" i="2"/>
  <c r="B27" i="2"/>
  <c r="D26" i="2"/>
  <c r="A23" i="2"/>
  <c r="A24" i="2"/>
  <c r="B22" i="2"/>
  <c r="D20" i="2"/>
  <c r="B26" i="2" s="1"/>
  <c r="B40" i="2"/>
  <c r="D19" i="2"/>
  <c r="B25" i="2" s="1"/>
  <c r="C15" i="3"/>
  <c r="B14" i="3"/>
  <c r="D24" i="2" l="1"/>
  <c r="C33" i="2"/>
  <c r="E33" i="2" s="1"/>
  <c r="C35" i="2"/>
  <c r="E35" i="2" s="1"/>
  <c r="C34" i="2"/>
  <c r="E34" i="2" s="1"/>
  <c r="B24" i="2"/>
  <c r="D25" i="2"/>
  <c r="C16" i="3"/>
  <c r="B15" i="3"/>
  <c r="D29" i="2" l="1"/>
  <c r="N25" i="2"/>
  <c r="C17" i="3"/>
  <c r="B16" i="3"/>
  <c r="B28" i="2" l="1"/>
  <c r="C7" i="3"/>
  <c r="C18" i="3"/>
  <c r="B17" i="3"/>
  <c r="C19" i="3" l="1"/>
  <c r="B18" i="3"/>
  <c r="C20" i="3" l="1"/>
  <c r="B19" i="3"/>
  <c r="C21" i="3" l="1"/>
  <c r="B20" i="3"/>
  <c r="C22" i="3" l="1"/>
  <c r="B21" i="3"/>
  <c r="C23" i="3" l="1"/>
  <c r="B22" i="3"/>
  <c r="C24" i="3" l="1"/>
  <c r="B23" i="3"/>
  <c r="C25" i="3" l="1"/>
  <c r="B24" i="3"/>
  <c r="C26" i="3" l="1"/>
  <c r="B25" i="3"/>
  <c r="C27" i="3" l="1"/>
  <c r="B26" i="3"/>
  <c r="C28" i="3" l="1"/>
  <c r="B27" i="3"/>
  <c r="C29" i="3" l="1"/>
  <c r="B28" i="3"/>
  <c r="C30" i="3" l="1"/>
  <c r="B29" i="3"/>
  <c r="C31" i="3" l="1"/>
  <c r="B30" i="3"/>
  <c r="C32" i="3" l="1"/>
  <c r="B31" i="3"/>
  <c r="C33" i="3" l="1"/>
  <c r="B32" i="3"/>
  <c r="B33" i="3" l="1"/>
  <c r="C34" i="3"/>
  <c r="C35" i="3" l="1"/>
  <c r="B34" i="3"/>
  <c r="B35" i="3" l="1"/>
  <c r="C36" i="3"/>
  <c r="C37" i="3" l="1"/>
  <c r="B36" i="3"/>
  <c r="B37" i="3" l="1"/>
  <c r="C38" i="3"/>
  <c r="C39" i="3" l="1"/>
  <c r="B38" i="3"/>
  <c r="B39" i="3" l="1"/>
  <c r="C40" i="3"/>
  <c r="C41" i="3" l="1"/>
  <c r="B40" i="3"/>
  <c r="B41" i="3" l="1"/>
  <c r="C42" i="3"/>
  <c r="C43" i="3" l="1"/>
  <c r="B42" i="3"/>
  <c r="B43" i="3" l="1"/>
  <c r="C44" i="3"/>
  <c r="C45" i="3" l="1"/>
  <c r="B44" i="3"/>
  <c r="B45" i="3" l="1"/>
  <c r="C46" i="3"/>
  <c r="C47" i="3" l="1"/>
  <c r="B46" i="3"/>
  <c r="B47" i="3" l="1"/>
  <c r="C48" i="3"/>
  <c r="C49" i="3" l="1"/>
  <c r="B48" i="3"/>
  <c r="B49" i="3" l="1"/>
  <c r="C50" i="3"/>
  <c r="C51" i="3" l="1"/>
  <c r="B50" i="3"/>
  <c r="B51" i="3" l="1"/>
  <c r="C52" i="3"/>
  <c r="C53" i="3" l="1"/>
  <c r="B52" i="3"/>
  <c r="B53" i="3" l="1"/>
  <c r="C54" i="3"/>
  <c r="C55" i="3" l="1"/>
  <c r="B54" i="3"/>
  <c r="B55" i="3" l="1"/>
  <c r="C56" i="3"/>
  <c r="C57" i="3" l="1"/>
  <c r="B56" i="3"/>
  <c r="B57" i="3" l="1"/>
  <c r="C58" i="3"/>
  <c r="C59" i="3" s="1"/>
  <c r="C60" i="3" l="1"/>
  <c r="B59" i="3"/>
  <c r="B58" i="3"/>
  <c r="C61" i="3" l="1"/>
  <c r="B60" i="3"/>
  <c r="F7" i="3"/>
  <c r="A12" i="3" s="1"/>
  <c r="B61" i="3" l="1"/>
  <c r="C62" i="3"/>
  <c r="A59" i="3"/>
  <c r="D59" i="3" s="1"/>
  <c r="A62" i="3"/>
  <c r="D62" i="3" s="1"/>
  <c r="A60" i="3"/>
  <c r="D60" i="3" s="1"/>
  <c r="A61" i="3"/>
  <c r="D61" i="3" s="1"/>
  <c r="A24" i="3"/>
  <c r="D24" i="3" s="1"/>
  <c r="B62" i="3" l="1"/>
  <c r="C63" i="3"/>
  <c r="F62" i="3"/>
  <c r="E61" i="3"/>
  <c r="E62" i="3"/>
  <c r="E60" i="3"/>
  <c r="F61" i="3"/>
  <c r="F60" i="3"/>
  <c r="A19" i="3"/>
  <c r="D19" i="3" s="1"/>
  <c r="A20" i="3"/>
  <c r="D20" i="3" s="1"/>
  <c r="A40" i="3"/>
  <c r="D40" i="3" s="1"/>
  <c r="A55" i="3"/>
  <c r="D55" i="3" s="1"/>
  <c r="A25" i="3"/>
  <c r="D25" i="3" s="1"/>
  <c r="E25" i="3" s="1"/>
  <c r="A45" i="3"/>
  <c r="D45" i="3" s="1"/>
  <c r="A13" i="3"/>
  <c r="D13" i="3" s="1"/>
  <c r="A33" i="3"/>
  <c r="D33" i="3" s="1"/>
  <c r="A30" i="3"/>
  <c r="D30" i="3" s="1"/>
  <c r="A26" i="3"/>
  <c r="D26" i="3" s="1"/>
  <c r="D12" i="3"/>
  <c r="A41" i="3"/>
  <c r="D41" i="3" s="1"/>
  <c r="A21" i="3"/>
  <c r="D21" i="3" s="1"/>
  <c r="A57" i="3"/>
  <c r="D57" i="3" s="1"/>
  <c r="A16" i="3"/>
  <c r="D16" i="3" s="1"/>
  <c r="A29" i="3"/>
  <c r="D29" i="3" s="1"/>
  <c r="A14" i="3"/>
  <c r="D14" i="3" s="1"/>
  <c r="A42" i="3"/>
  <c r="D42" i="3" s="1"/>
  <c r="A58" i="3"/>
  <c r="D58" i="3" s="1"/>
  <c r="A50" i="3"/>
  <c r="D50" i="3" s="1"/>
  <c r="A35" i="3"/>
  <c r="D35" i="3" s="1"/>
  <c r="A51" i="3"/>
  <c r="D51" i="3" s="1"/>
  <c r="A54" i="3"/>
  <c r="D54" i="3" s="1"/>
  <c r="A49" i="3"/>
  <c r="D49" i="3" s="1"/>
  <c r="A53" i="3"/>
  <c r="D53" i="3" s="1"/>
  <c r="A43" i="3"/>
  <c r="D43" i="3" s="1"/>
  <c r="A38" i="3"/>
  <c r="D38" i="3" s="1"/>
  <c r="A23" i="3"/>
  <c r="D23" i="3" s="1"/>
  <c r="F24" i="3" s="1"/>
  <c r="A44" i="3"/>
  <c r="D44" i="3" s="1"/>
  <c r="A37" i="3"/>
  <c r="D37" i="3" s="1"/>
  <c r="A47" i="3"/>
  <c r="D47" i="3" s="1"/>
  <c r="A36" i="3"/>
  <c r="D36" i="3" s="1"/>
  <c r="A28" i="3"/>
  <c r="D28" i="3" s="1"/>
  <c r="A22" i="3"/>
  <c r="D22" i="3" s="1"/>
  <c r="A56" i="3"/>
  <c r="D56" i="3" s="1"/>
  <c r="A18" i="3"/>
  <c r="D18" i="3" s="1"/>
  <c r="A39" i="3"/>
  <c r="D39" i="3" s="1"/>
  <c r="A46" i="3"/>
  <c r="D46" i="3" s="1"/>
  <c r="A52" i="3"/>
  <c r="D52" i="3" s="1"/>
  <c r="A17" i="3"/>
  <c r="D17" i="3" s="1"/>
  <c r="A32" i="3"/>
  <c r="D32" i="3" s="1"/>
  <c r="A31" i="3"/>
  <c r="D31" i="3" s="1"/>
  <c r="A27" i="3"/>
  <c r="D27" i="3" s="1"/>
  <c r="D11" i="3"/>
  <c r="E11" i="3" s="1"/>
  <c r="A48" i="3"/>
  <c r="D48" i="3" s="1"/>
  <c r="A15" i="3"/>
  <c r="D15" i="3" s="1"/>
  <c r="A34" i="3"/>
  <c r="D34" i="3" s="1"/>
  <c r="B63" i="3" l="1"/>
  <c r="C64" i="3"/>
  <c r="A63" i="3"/>
  <c r="D63" i="3" s="1"/>
  <c r="F18" i="3"/>
  <c r="E46" i="3"/>
  <c r="E43" i="3"/>
  <c r="F50" i="3"/>
  <c r="F13" i="3"/>
  <c r="E26" i="3"/>
  <c r="E20" i="3"/>
  <c r="F59" i="3"/>
  <c r="E59" i="3"/>
  <c r="E41" i="3"/>
  <c r="E35" i="3"/>
  <c r="F56" i="3"/>
  <c r="F55" i="3"/>
  <c r="E42" i="3"/>
  <c r="F29" i="3"/>
  <c r="F41" i="3"/>
  <c r="E55" i="3"/>
  <c r="F21" i="3"/>
  <c r="F40" i="3"/>
  <c r="E54" i="3"/>
  <c r="F36" i="3"/>
  <c r="F46" i="3"/>
  <c r="F20" i="3"/>
  <c r="F45" i="3"/>
  <c r="E21" i="3"/>
  <c r="F31" i="3"/>
  <c r="F25" i="3"/>
  <c r="E18" i="3"/>
  <c r="E23" i="3"/>
  <c r="E45" i="3"/>
  <c r="E27" i="3"/>
  <c r="E56" i="3"/>
  <c r="F38" i="3"/>
  <c r="E58" i="3"/>
  <c r="F39" i="3"/>
  <c r="E19" i="3"/>
  <c r="F19" i="3"/>
  <c r="E34" i="3"/>
  <c r="F53" i="3"/>
  <c r="F48" i="3"/>
  <c r="F17" i="3"/>
  <c r="E12" i="3"/>
  <c r="E14" i="3"/>
  <c r="F57" i="3"/>
  <c r="F52" i="3"/>
  <c r="E31" i="3"/>
  <c r="F16" i="3"/>
  <c r="F32" i="3"/>
  <c r="E44" i="3"/>
  <c r="F42" i="3"/>
  <c r="F27" i="3"/>
  <c r="F47" i="3"/>
  <c r="E57" i="3"/>
  <c r="E13" i="3"/>
  <c r="E52" i="3"/>
  <c r="E38" i="3"/>
  <c r="E28" i="3"/>
  <c r="F34" i="3"/>
  <c r="E48" i="3"/>
  <c r="E32" i="3"/>
  <c r="E53" i="3"/>
  <c r="F15" i="3"/>
  <c r="F43" i="3"/>
  <c r="E47" i="3"/>
  <c r="E16" i="3"/>
  <c r="F26" i="3"/>
  <c r="F54" i="3"/>
  <c r="E49" i="3"/>
  <c r="F37" i="3"/>
  <c r="F51" i="3"/>
  <c r="E29" i="3"/>
  <c r="E40" i="3"/>
  <c r="F22" i="3"/>
  <c r="E39" i="3"/>
  <c r="F44" i="3"/>
  <c r="E33" i="3"/>
  <c r="E36" i="3"/>
  <c r="F33" i="3"/>
  <c r="F28" i="3"/>
  <c r="E22" i="3"/>
  <c r="F49" i="3"/>
  <c r="E17" i="3"/>
  <c r="E24" i="3"/>
  <c r="E50" i="3"/>
  <c r="F30" i="3"/>
  <c r="F12" i="3"/>
  <c r="F35" i="3"/>
  <c r="E15" i="3"/>
  <c r="F11" i="3"/>
  <c r="G11" i="3" s="1"/>
  <c r="F23" i="3"/>
  <c r="F14" i="3"/>
  <c r="E30" i="3"/>
  <c r="E51" i="3"/>
  <c r="E37" i="3"/>
  <c r="F58" i="3"/>
  <c r="F63" i="3" l="1"/>
  <c r="E63" i="3"/>
  <c r="B64" i="3"/>
  <c r="C65" i="3"/>
  <c r="A64" i="3"/>
  <c r="D64" i="3" s="1"/>
  <c r="G12" i="3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E64" i="3" l="1"/>
  <c r="B65" i="3"/>
  <c r="C66" i="3"/>
  <c r="A65" i="3"/>
  <c r="D65" i="3" s="1"/>
  <c r="F64" i="3"/>
  <c r="G64" i="3" s="1"/>
  <c r="B66" i="3" l="1"/>
  <c r="C67" i="3"/>
  <c r="A66" i="3"/>
  <c r="D66" i="3" s="1"/>
  <c r="F66" i="3" s="1"/>
  <c r="E65" i="3"/>
  <c r="F65" i="3"/>
  <c r="G65" i="3" s="1"/>
  <c r="G66" i="3" s="1"/>
  <c r="E66" i="3" l="1"/>
  <c r="B67" i="3"/>
  <c r="C68" i="3"/>
  <c r="A67" i="3"/>
  <c r="D67" i="3" s="1"/>
  <c r="E67" i="3" l="1"/>
  <c r="B68" i="3"/>
  <c r="C69" i="3"/>
  <c r="A68" i="3"/>
  <c r="D68" i="3" s="1"/>
  <c r="F67" i="3"/>
  <c r="G67" i="3" s="1"/>
  <c r="C70" i="3" l="1"/>
  <c r="B69" i="3"/>
  <c r="A69" i="3"/>
  <c r="D69" i="3" s="1"/>
  <c r="E68" i="3"/>
  <c r="F69" i="3"/>
  <c r="F68" i="3"/>
  <c r="G68" i="3" s="1"/>
  <c r="G69" i="3" s="1"/>
  <c r="E69" i="3" l="1"/>
  <c r="B70" i="3"/>
  <c r="A70" i="3"/>
  <c r="D70" i="3" s="1"/>
  <c r="E70" i="3" s="1"/>
  <c r="F70" i="3" l="1"/>
  <c r="G70" i="3" s="1"/>
</calcChain>
</file>

<file path=xl/sharedStrings.xml><?xml version="1.0" encoding="utf-8"?>
<sst xmlns="http://schemas.openxmlformats.org/spreadsheetml/2006/main" count="181" uniqueCount="130">
  <si>
    <t>Stability Berm</t>
  </si>
  <si>
    <t>Length of Dam at Breach Elev</t>
  </si>
  <si>
    <t>Volume of Breach</t>
  </si>
  <si>
    <t>Top Width</t>
  </si>
  <si>
    <t>Upstream Slope Above Berm</t>
  </si>
  <si>
    <t>Upstream Slope Below Berm</t>
  </si>
  <si>
    <t>Downstream Slope Above Berm</t>
  </si>
  <si>
    <t>Downstream Slope Below Berm</t>
  </si>
  <si>
    <t>Stability Berm Width</t>
  </si>
  <si>
    <t>Wave Berm Width</t>
  </si>
  <si>
    <t>Average Valley Floor</t>
  </si>
  <si>
    <t>Ft msl</t>
  </si>
  <si>
    <t xml:space="preserve">Ft  </t>
  </si>
  <si>
    <t>Ac Ft</t>
  </si>
  <si>
    <t>Ft</t>
  </si>
  <si>
    <t>:1</t>
  </si>
  <si>
    <t>Date</t>
  </si>
  <si>
    <t>Site No.</t>
  </si>
  <si>
    <t>Elevations</t>
  </si>
  <si>
    <t>Top of Dam</t>
  </si>
  <si>
    <t xml:space="preserve">Wave Berm  </t>
  </si>
  <si>
    <t>Schematic Plan View</t>
  </si>
  <si>
    <t>Length of Dam</t>
  </si>
  <si>
    <t>Reservoir Volume at Time of Failure
ac-ft</t>
  </si>
  <si>
    <t>Wave Berm</t>
  </si>
  <si>
    <t>Stab Berm</t>
  </si>
  <si>
    <t>Avg Valley Floor</t>
  </si>
  <si>
    <t>USDA-NRCS TR-60 Earth Dams &amp; Reservoirs Peak Discharge Criteria</t>
  </si>
  <si>
    <t>210-VI-TR60, July 2005.  Pg. 1-1 and 1-2</t>
  </si>
  <si>
    <t>Dam Cross-Section Schematic</t>
  </si>
  <si>
    <t>County, State</t>
  </si>
  <si>
    <t>County, ST</t>
  </si>
  <si>
    <t>Version</t>
  </si>
  <si>
    <t>Notes</t>
  </si>
  <si>
    <t>K Visser</t>
  </si>
  <si>
    <t>Version Date:</t>
  </si>
  <si>
    <t>Low Dam</t>
  </si>
  <si>
    <t>Case</t>
  </si>
  <si>
    <t>Description</t>
  </si>
  <si>
    <t>Rounding</t>
  </si>
  <si>
    <t>Revised to include narrow dam case where lower bound &gt; upper bound
Classed Dams into High/Low Wide/Low Narrow/Low Narrow UpBnd&lt;LowBnd</t>
  </si>
  <si>
    <t xml:space="preserve">Water Surface@Breach: </t>
  </si>
  <si>
    <t>US Wave Berm Width</t>
  </si>
  <si>
    <t>DS Stability Berm Width</t>
  </si>
  <si>
    <t xml:space="preserve">Water Surface@Breach </t>
  </si>
  <si>
    <t>Renamed Upper Bounding conditions to UpBndWide &amp; UpBndNarrow</t>
  </si>
  <si>
    <t>Ver Date:</t>
  </si>
  <si>
    <t>Purpose:</t>
  </si>
  <si>
    <t>Storage Volume@Breach Elev</t>
  </si>
  <si>
    <t>Length of Dam@Breach Elev</t>
  </si>
  <si>
    <t>Modified Breach Qmax Condition 4 (Low/Narrow Dam LB&gt;UB).  Selects the larger of: "value" or "upper bound" and disregards the lower bound.</t>
  </si>
  <si>
    <t>Corrected Outflow volume computation in Breach Hydrograph worksheet.  Error found by Christopher Wright, URS, and forwarded by Terry Costner e-mail 7/20/2010</t>
  </si>
  <si>
    <t>Modified Breach Qmax Condition 4 (Low/Narrow Dam LB&gt;UB) as per 7/14/2010 Claudia Hoeft (Nat'l Hydr Engr) e-mail.  
Disregard the lower bound. 
Select the smaller  of: "value" or "upper bound".</t>
  </si>
  <si>
    <t>Provided data validation on Input tab for input elevations.
Removed formatting of breach hydrograph discharge points.
Made all breach hydrograph time increments 0.1 hours.</t>
  </si>
  <si>
    <t>Modified data validation for input water surface elevation@breach.  Formerly required whole number input.  Modified to accept decimal number input like other input elevations.</t>
  </si>
  <si>
    <t>Modified data validation on Wave/Stability Berm elevation to enable decimal input.</t>
  </si>
  <si>
    <r>
      <t xml:space="preserve">Decay 
exponent
</t>
    </r>
    <r>
      <rPr>
        <i/>
        <sz val="10"/>
        <rFont val="Calibri"/>
        <family val="2"/>
        <scheme val="minor"/>
      </rPr>
      <t>t</t>
    </r>
  </si>
  <si>
    <r>
      <t xml:space="preserve">Time
</t>
    </r>
    <r>
      <rPr>
        <i/>
        <sz val="10"/>
        <rFont val="Calibri"/>
        <family val="2"/>
        <scheme val="minor"/>
      </rPr>
      <t>min</t>
    </r>
  </si>
  <si>
    <r>
      <t xml:space="preserve">Time
</t>
    </r>
    <r>
      <rPr>
        <i/>
        <sz val="10"/>
        <rFont val="Calibri"/>
        <family val="2"/>
        <scheme val="minor"/>
      </rPr>
      <t>hr</t>
    </r>
  </si>
  <si>
    <r>
      <t xml:space="preserve">Breach Outflow
</t>
    </r>
    <r>
      <rPr>
        <i/>
        <sz val="10"/>
        <rFont val="Calibri"/>
        <family val="2"/>
        <scheme val="minor"/>
      </rPr>
      <t>cfs</t>
    </r>
  </si>
  <si>
    <r>
      <t xml:space="preserve">Incremental Outflow
</t>
    </r>
    <r>
      <rPr>
        <i/>
        <sz val="10"/>
        <rFont val="Calibri"/>
        <family val="2"/>
        <scheme val="minor"/>
      </rPr>
      <t>ft</t>
    </r>
    <r>
      <rPr>
        <i/>
        <vertAlign val="superscript"/>
        <sz val="10"/>
        <rFont val="Calibri"/>
        <family val="2"/>
        <scheme val="minor"/>
      </rPr>
      <t>3</t>
    </r>
  </si>
  <si>
    <r>
      <t xml:space="preserve">Incremental Outflow
</t>
    </r>
    <r>
      <rPr>
        <i/>
        <sz val="10"/>
        <rFont val="Calibri"/>
        <family val="2"/>
        <scheme val="minor"/>
      </rPr>
      <t>ac-ft</t>
    </r>
  </si>
  <si>
    <r>
      <t xml:space="preserve">Total 
Outflow
</t>
    </r>
    <r>
      <rPr>
        <i/>
        <sz val="10"/>
        <rFont val="Calibri"/>
        <family val="2"/>
        <scheme val="minor"/>
      </rPr>
      <t>ac-ft</t>
    </r>
  </si>
  <si>
    <t>Notes:</t>
  </si>
  <si>
    <r>
      <t>Breach Discharge Q</t>
    </r>
    <r>
      <rPr>
        <vertAlign val="subscript"/>
        <sz val="12"/>
        <color theme="0" tint="-0.499984740745262"/>
        <rFont val="Calibri"/>
        <family val="2"/>
        <scheme val="minor"/>
      </rPr>
      <t>max</t>
    </r>
  </si>
  <si>
    <t>Curvilinear, Exponential Decay Breach Hydrograph</t>
  </si>
  <si>
    <t>TR-66
Equation (7)</t>
  </si>
  <si>
    <t>Added notes to Breach Hydrograph tab documenting TR-66 as source document for curvilinear, exponential decay hydrograph.</t>
  </si>
  <si>
    <t>NRCS TR-60 Breach Peak Discharge Flow Chart</t>
  </si>
  <si>
    <r>
      <t>= 65 H</t>
    </r>
    <r>
      <rPr>
        <vertAlign val="subscript"/>
        <sz val="12"/>
        <rFont val="Calibri"/>
        <family val="2"/>
        <scheme val="minor"/>
      </rPr>
      <t>w</t>
    </r>
    <r>
      <rPr>
        <vertAlign val="superscript"/>
        <sz val="12"/>
        <rFont val="Calibri"/>
        <family val="2"/>
        <scheme val="minor"/>
      </rPr>
      <t>1.85</t>
    </r>
  </si>
  <si>
    <r>
      <t>H</t>
    </r>
    <r>
      <rPr>
        <vertAlign val="subscript"/>
        <sz val="12"/>
        <rFont val="Calibri"/>
        <family val="2"/>
        <scheme val="minor"/>
      </rPr>
      <t>w</t>
    </r>
    <r>
      <rPr>
        <sz val="12"/>
        <rFont val="Calibri"/>
        <family val="2"/>
        <scheme val="minor"/>
      </rPr>
      <t xml:space="preserve"> &lt; 103'</t>
    </r>
  </si>
  <si>
    <t>Altered flow chart for clarity</t>
  </si>
  <si>
    <r>
      <t>H</t>
    </r>
    <r>
      <rPr>
        <vertAlign val="subscript"/>
        <sz val="12"/>
        <rFont val="Calibri"/>
        <family val="2"/>
        <scheme val="minor"/>
      </rPr>
      <t>w</t>
    </r>
    <r>
      <rPr>
        <sz val="12"/>
        <rFont val="Calibri"/>
        <family val="2"/>
        <scheme val="minor"/>
      </rPr>
      <t xml:space="preserve"> &gt;= 103'</t>
    </r>
  </si>
  <si>
    <t>Upper Bound &gt; Lower Bound</t>
  </si>
  <si>
    <t>Yes</t>
  </si>
  <si>
    <t>No</t>
  </si>
  <si>
    <t>Input Summary</t>
  </si>
  <si>
    <t>Embankment Cross-Section Area at Breach (A)</t>
  </si>
  <si>
    <r>
      <t>Theoretical breach width, T = [65(H</t>
    </r>
    <r>
      <rPr>
        <vertAlign val="superscript"/>
        <sz val="12"/>
        <rFont val="Calibri"/>
        <family val="2"/>
        <scheme val="minor"/>
      </rPr>
      <t>0.35</t>
    </r>
    <r>
      <rPr>
        <sz val="12"/>
        <rFont val="Calibri"/>
        <family val="2"/>
        <scheme val="minor"/>
      </rPr>
      <t xml:space="preserve">)/0.416] </t>
    </r>
  </si>
  <si>
    <r>
      <t>Height Of Breach (H</t>
    </r>
    <r>
      <rPr>
        <vertAlign val="subscript"/>
        <sz val="12"/>
        <rFont val="Calibri"/>
        <family val="2"/>
        <scheme val="minor"/>
      </rPr>
      <t>w</t>
    </r>
    <r>
      <rPr>
        <sz val="12"/>
        <rFont val="Calibri"/>
        <family val="2"/>
        <scheme val="minor"/>
      </rPr>
      <t>)</t>
    </r>
  </si>
  <si>
    <r>
      <t>Breach factor, B</t>
    </r>
    <r>
      <rPr>
        <vertAlign val="subscript"/>
        <sz val="12"/>
        <rFont val="Calibri"/>
        <family val="2"/>
        <scheme val="minor"/>
      </rPr>
      <t>r</t>
    </r>
    <r>
      <rPr>
        <sz val="12"/>
        <rFont val="Calibri"/>
        <family val="2"/>
        <scheme val="minor"/>
      </rPr>
      <t xml:space="preserve"> = (V</t>
    </r>
    <r>
      <rPr>
        <vertAlign val="subscript"/>
        <sz val="12"/>
        <rFont val="Calibri"/>
        <family val="2"/>
        <scheme val="minor"/>
      </rPr>
      <t>s</t>
    </r>
    <r>
      <rPr>
        <sz val="12"/>
        <rFont val="Calibri"/>
        <family val="2"/>
        <scheme val="minor"/>
      </rPr>
      <t xml:space="preserve"> * H</t>
    </r>
    <r>
      <rPr>
        <vertAlign val="subscript"/>
        <sz val="12"/>
        <rFont val="Calibri"/>
        <family val="2"/>
        <scheme val="minor"/>
      </rPr>
      <t>w</t>
    </r>
    <r>
      <rPr>
        <sz val="12"/>
        <rFont val="Calibri"/>
        <family val="2"/>
        <scheme val="minor"/>
      </rPr>
      <t>)/A</t>
    </r>
  </si>
  <si>
    <r>
      <t>Volume of Storage (V</t>
    </r>
    <r>
      <rPr>
        <vertAlign val="subscript"/>
        <sz val="12"/>
        <rFont val="Calibri"/>
        <family val="2"/>
        <scheme val="minor"/>
      </rPr>
      <t>s</t>
    </r>
    <r>
      <rPr>
        <sz val="12"/>
        <rFont val="Calibri"/>
        <family val="2"/>
        <scheme val="minor"/>
      </rPr>
      <t>)</t>
    </r>
  </si>
  <si>
    <t>acre</t>
  </si>
  <si>
    <t>ft</t>
  </si>
  <si>
    <r>
      <t>ft</t>
    </r>
    <r>
      <rPr>
        <vertAlign val="superscript"/>
        <sz val="12"/>
        <rFont val="Calibri"/>
        <family val="2"/>
        <scheme val="minor"/>
      </rPr>
      <t>2</t>
    </r>
  </si>
  <si>
    <t>ac-ft</t>
  </si>
  <si>
    <t>ft msl</t>
  </si>
  <si>
    <t>Project - Designer</t>
  </si>
  <si>
    <t>Breach Discharge Intermediate Values</t>
  </si>
  <si>
    <t>Dam Height</t>
  </si>
  <si>
    <r>
      <t>TR-60 Breach Q</t>
    </r>
    <r>
      <rPr>
        <b/>
        <vertAlign val="subscript"/>
        <sz val="16"/>
        <rFont val="Calibri"/>
        <family val="2"/>
        <scheme val="minor"/>
      </rPr>
      <t>max</t>
    </r>
    <r>
      <rPr>
        <b/>
        <sz val="16"/>
        <rFont val="Calibri"/>
        <family val="2"/>
        <scheme val="minor"/>
      </rPr>
      <t xml:space="preserve"> for Hazard Class:</t>
    </r>
  </si>
  <si>
    <t>Qmax</t>
  </si>
  <si>
    <r>
      <t>Reversed version 2.4 changes.  When Low Bound &gt; Upper Bound for Narrow Dams, reset Low Bound to Upper Bound.  Q</t>
    </r>
    <r>
      <rPr>
        <vertAlign val="subscript"/>
        <sz val="10"/>
        <rFont val="Calibri"/>
        <family val="2"/>
        <scheme val="minor"/>
      </rPr>
      <t>max</t>
    </r>
    <r>
      <rPr>
        <sz val="10"/>
        <rFont val="Calibri"/>
        <family val="2"/>
        <scheme val="minor"/>
      </rPr>
      <t xml:space="preserve"> becomes Upper Bound.</t>
    </r>
  </si>
  <si>
    <r>
      <t>Breach
Q</t>
    </r>
    <r>
      <rPr>
        <b/>
        <vertAlign val="subscript"/>
        <sz val="11"/>
        <rFont val="Calibri"/>
        <family val="2"/>
        <scheme val="minor"/>
      </rPr>
      <t>max</t>
    </r>
  </si>
  <si>
    <t>For HEC-RAS unsteady 1D flow, recommend setting Min Flow to ~5% of peak flow</t>
  </si>
  <si>
    <r>
      <t>Q</t>
    </r>
    <r>
      <rPr>
        <vertAlign val="subscript"/>
        <sz val="11"/>
        <rFont val="Lucida Console"/>
        <family val="3"/>
      </rPr>
      <t>i</t>
    </r>
    <r>
      <rPr>
        <sz val="11"/>
        <rFont val="Lucida Console"/>
        <family val="3"/>
      </rPr>
      <t xml:space="preserve"> = Q</t>
    </r>
    <r>
      <rPr>
        <vertAlign val="subscript"/>
        <sz val="11"/>
        <rFont val="Lucida Console"/>
        <family val="3"/>
      </rPr>
      <t xml:space="preserve">I </t>
    </r>
    <r>
      <rPr>
        <sz val="11"/>
        <rFont val="Lucida Console"/>
        <family val="3"/>
      </rPr>
      <t>e</t>
    </r>
    <r>
      <rPr>
        <vertAlign val="superscript"/>
        <sz val="11"/>
        <rFont val="Lucida Console"/>
        <family val="3"/>
      </rPr>
      <t>-t*</t>
    </r>
    <r>
      <rPr>
        <sz val="11"/>
        <rFont val="Lucida Console"/>
        <family val="3"/>
      </rPr>
      <t xml:space="preserve">       </t>
    </r>
  </si>
  <si>
    <t>Author</t>
  </si>
  <si>
    <t>Elevations:</t>
  </si>
  <si>
    <t>Top Width of Embankment Crest</t>
  </si>
  <si>
    <r>
      <t>This spreadsheet develops the NRCS TR-60 estimated peak breach discharge values for earthen embankment dams.  
User inputs various dam elevations, dimensions, and storage volume on Input tab yellow cells.  
Breach peak discharge is computed on TR-60 Breach Q</t>
    </r>
    <r>
      <rPr>
        <vertAlign val="subscript"/>
        <sz val="10"/>
        <rFont val="Calibri"/>
        <family val="2"/>
        <scheme val="minor"/>
      </rPr>
      <t>max</t>
    </r>
    <r>
      <rPr>
        <sz val="10"/>
        <rFont val="Calibri"/>
        <family val="2"/>
        <scheme val="minor"/>
      </rPr>
      <t xml:space="preserve"> tab.  
The Flow Chart tab shows how the peak discharge equations are used on tall dams, low wide dams, and low narrow dams.
Incorporating the TR-60 peak breach discharge value, a curvilinear, exponential-decay, breach hydrograph is created on the Breach Hydrograph tab.  TR-60 does not specify a breach hydrograph.
Version Notes tab describes spreadsheet updates.</t>
    </r>
  </si>
  <si>
    <t>Upper Bound &lt; Lower Bound</t>
  </si>
  <si>
    <t>By inspection, upper bound equals lower bound when L = 7.7 Hw.
For case 4 Low, Narrow Dam, L &lt; 7.7 Hw, disregard upper bound and value.
Use Lower bound = 3.2 Hw^2.5</t>
  </si>
  <si>
    <t>Clay, KS</t>
  </si>
  <si>
    <r>
      <t>Low Narrow Dam: UpBnd&lt;LowBnd (L&lt;7.7H</t>
    </r>
    <r>
      <rPr>
        <vertAlign val="subscript"/>
        <sz val="9"/>
        <color theme="0" tint="-0.499984740745262"/>
        <rFont val="Calibri"/>
        <family val="2"/>
        <scheme val="minor"/>
      </rPr>
      <t>w</t>
    </r>
    <r>
      <rPr>
        <sz val="9"/>
        <color theme="0" tint="-0.499984740745262"/>
        <rFont val="Calibri"/>
        <family val="2"/>
        <scheme val="minor"/>
      </rPr>
      <t>)</t>
    </r>
  </si>
  <si>
    <r>
      <t>Low Narrow Dam: UpBnd&gt;LowBnd (L&gt;7.7H</t>
    </r>
    <r>
      <rPr>
        <vertAlign val="subscript"/>
        <sz val="9"/>
        <color theme="0" tint="-0.499984740745262"/>
        <rFont val="Calibri"/>
        <family val="2"/>
        <scheme val="minor"/>
      </rPr>
      <t>w</t>
    </r>
    <r>
      <rPr>
        <sz val="9"/>
        <color theme="0" tint="-0.499984740745262"/>
        <rFont val="Calibri"/>
        <family val="2"/>
        <scheme val="minor"/>
      </rPr>
      <t>)</t>
    </r>
  </si>
  <si>
    <r>
      <t>L &gt; 7.7 H</t>
    </r>
    <r>
      <rPr>
        <vertAlign val="subscript"/>
        <sz val="12"/>
        <rFont val="Calibri"/>
        <family val="2"/>
        <scheme val="minor"/>
      </rPr>
      <t>w</t>
    </r>
  </si>
  <si>
    <r>
      <t>L &lt; 7.7 H</t>
    </r>
    <r>
      <rPr>
        <vertAlign val="subscript"/>
        <sz val="12"/>
        <rFont val="Calibri"/>
        <family val="2"/>
        <scheme val="minor"/>
      </rPr>
      <t>w</t>
    </r>
  </si>
  <si>
    <t>Version:</t>
  </si>
  <si>
    <t>Checked by:</t>
  </si>
  <si>
    <t>Prepared by:</t>
  </si>
  <si>
    <t>Checked date:</t>
  </si>
  <si>
    <t xml:space="preserve">Watershed or Owner Name: </t>
  </si>
  <si>
    <r>
      <t>Tall Dam (H</t>
    </r>
    <r>
      <rPr>
        <vertAlign val="subscript"/>
        <sz val="9"/>
        <color theme="0" tint="-0.499984740745262"/>
        <rFont val="Calibri"/>
        <family val="2"/>
        <scheme val="minor"/>
      </rPr>
      <t>w</t>
    </r>
    <r>
      <rPr>
        <sz val="9"/>
        <color theme="0" tint="-0.499984740745262"/>
        <rFont val="Calibri"/>
        <family val="2"/>
        <scheme val="minor"/>
      </rPr>
      <t>&gt;103)</t>
    </r>
  </si>
  <si>
    <r>
      <t>Low Wide Dam ((H</t>
    </r>
    <r>
      <rPr>
        <vertAlign val="subscript"/>
        <sz val="9"/>
        <color theme="0" tint="-0.499984740745262"/>
        <rFont val="Calibri"/>
        <family val="2"/>
        <scheme val="minor"/>
      </rPr>
      <t>w</t>
    </r>
    <r>
      <rPr>
        <sz val="9"/>
        <color theme="0" tint="-0.499984740745262"/>
        <rFont val="Calibri"/>
        <family val="2"/>
        <scheme val="minor"/>
      </rPr>
      <t>&lt;103 &amp; L&gt;T)</t>
    </r>
  </si>
  <si>
    <t>Prepared date:</t>
  </si>
  <si>
    <t>Printed:</t>
  </si>
  <si>
    <t>Quimby Creek</t>
  </si>
  <si>
    <t>Lotta Wadder 1</t>
  </si>
  <si>
    <t>Chezy Chequer</t>
  </si>
  <si>
    <r>
      <t>t*=(tQ</t>
    </r>
    <r>
      <rPr>
        <vertAlign val="subscript"/>
        <sz val="11"/>
        <rFont val="Lucida Console"/>
        <family val="3"/>
      </rPr>
      <t>I</t>
    </r>
    <r>
      <rPr>
        <sz val="11"/>
        <rFont val="Lucida Console"/>
        <family val="3"/>
      </rPr>
      <t>)/(V</t>
    </r>
    <r>
      <rPr>
        <vertAlign val="subscript"/>
        <sz val="11"/>
        <rFont val="Lucida Console"/>
        <family val="3"/>
      </rPr>
      <t>I</t>
    </r>
    <r>
      <rPr>
        <sz val="11"/>
        <rFont val="Lucida Console"/>
        <family val="3"/>
      </rPr>
      <t>)</t>
    </r>
  </si>
  <si>
    <r>
      <t>Q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>=</t>
    </r>
  </si>
  <si>
    <r>
      <t>V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>=</t>
    </r>
  </si>
  <si>
    <t>TR-66
Eqn (15)</t>
  </si>
  <si>
    <t>Hydrograph time increment arbitrarily set to 0.1 hr</t>
  </si>
  <si>
    <t>Therefore, time to breach set to 0.1 hr or 6 minute to match arbitrary hydrograph time increment</t>
  </si>
  <si>
    <t>TR-66 Equation (7) for curvilinear hydrograph</t>
  </si>
  <si>
    <t xml:space="preserve">TR-66 Equation (15) t* decay exponent: </t>
  </si>
  <si>
    <t>For HEC-RAS unsteady 2D flow, initial conditions are more flexible.</t>
  </si>
  <si>
    <t>Decay exponent equations references corrected to TR-66 Equations 7 &amp; 15 - 
P Clark &amp; P Larson, KS.</t>
  </si>
  <si>
    <t>Fixed bug in range names for UpBnd and LowBnd in TR-60 Breach Qmax tab.
Changed Qmax rounding from 2 significant digits to 3 significant digits.
Added prepared by/date, checked by/date, print date boxes.  Default date is today {NOW()}, but user can change prepared date and checked date as appropriate.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</si>
</sst>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00"/>
    <numFmt numFmtId="167" formatCode="0.0"/>
    <numFmt numFmtId="168" formatCode="#,##0\ &quot;cf&quot;"/>
    <numFmt numFmtId="169" formatCode="#,##0\ &quot;cfs&quot;"/>
    <numFmt numFmtId="170" formatCode="0.0\ &quot;hr&quot;"/>
    <numFmt numFmtId="171" formatCode="0\ &quot;min&quot;"/>
    <numFmt numFmtId="172" formatCode="#,##0\ &quot;ac-ft&quot;"/>
    <numFmt numFmtId="173" formatCode="mmm\ dd\,\ yyyy"/>
    <numFmt numFmtId="174" formatCode="#,##0\ &quot;ft&quot;"/>
    <numFmt numFmtId="175" formatCode="0\ &quot;ft&quot;"/>
    <numFmt numFmtId="176" formatCode="&quot;Elev&quot;\ #,##0"/>
    <numFmt numFmtId="177" formatCode="&quot;Elev&quot;\ #,##0.0&quot;'&quot;"/>
    <numFmt numFmtId="178" formatCode="0.0&quot;:1&quot;"/>
    <numFmt numFmtId="179" formatCode="mmm\ d\,\ yyyy"/>
    <numFmt numFmtId="180" formatCode="#,##0.0"/>
    <numFmt numFmtId="181" formatCode="[$-409]mmmm\ d\,\ yyyy;@"/>
  </numFmts>
  <fonts count="32" x14ac:knownFonts="1">
    <font>
      <sz val="10"/>
      <name val="Comic Sans MS"/>
    </font>
    <font>
      <sz val="10"/>
      <name val="Comic Sans MS"/>
      <family val="4"/>
    </font>
    <font>
      <sz val="10"/>
      <name val="Arial"/>
      <family val="2"/>
    </font>
    <font>
      <sz val="8"/>
      <name val="Comic Sans MS"/>
      <family val="4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sz val="9"/>
      <color indexed="23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vertAlign val="subscript"/>
      <sz val="1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vertAlign val="subscript"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i/>
      <sz val="9"/>
      <name val="Calibri"/>
      <family val="2"/>
      <scheme val="minor"/>
    </font>
    <font>
      <vertAlign val="subscript"/>
      <sz val="10"/>
      <name val="Calibri"/>
      <family val="2"/>
      <scheme val="minor"/>
    </font>
    <font>
      <sz val="20"/>
      <name val="Calibri"/>
      <family val="2"/>
      <scheme val="minor"/>
    </font>
    <font>
      <sz val="12"/>
      <color theme="0"/>
      <name val="Calibri"/>
      <family val="2"/>
      <scheme val="minor"/>
    </font>
    <font>
      <b/>
      <vertAlign val="subscript"/>
      <sz val="16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1"/>
      <name val="Lucida Console"/>
      <family val="3"/>
    </font>
    <font>
      <vertAlign val="subscript"/>
      <sz val="11"/>
      <name val="Lucida Console"/>
      <family val="3"/>
    </font>
    <font>
      <vertAlign val="superscript"/>
      <sz val="11"/>
      <name val="Lucida Console"/>
      <family val="3"/>
    </font>
    <font>
      <vertAlign val="subscript"/>
      <sz val="9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 applyBorder="1"/>
    <xf numFmtId="0" fontId="4" fillId="0" borderId="6" xfId="0" applyFont="1" applyBorder="1"/>
    <xf numFmtId="0" fontId="4" fillId="0" borderId="0" xfId="0" applyFont="1" applyAlignment="1">
      <alignment horizontal="left" indent="1"/>
    </xf>
    <xf numFmtId="180" fontId="4" fillId="2" borderId="0" xfId="0" applyNumberFormat="1" applyFont="1" applyFill="1" applyProtection="1">
      <protection locked="0"/>
    </xf>
    <xf numFmtId="0" fontId="4" fillId="0" borderId="0" xfId="0" applyFont="1" applyAlignment="1">
      <alignment wrapText="1"/>
    </xf>
    <xf numFmtId="3" fontId="4" fillId="2" borderId="0" xfId="0" applyNumberFormat="1" applyFont="1" applyFill="1" applyProtection="1">
      <protection locked="0"/>
    </xf>
    <xf numFmtId="0" fontId="4" fillId="2" borderId="0" xfId="0" applyFont="1" applyFill="1" applyProtection="1">
      <protection locked="0"/>
    </xf>
    <xf numFmtId="0" fontId="7" fillId="0" borderId="0" xfId="0" applyFont="1" applyAlignment="1">
      <alignment horizontal="right"/>
    </xf>
    <xf numFmtId="167" fontId="7" fillId="0" borderId="0" xfId="0" applyNumberFormat="1" applyFont="1" applyAlignment="1">
      <alignment horizontal="center"/>
    </xf>
    <xf numFmtId="181" fontId="7" fillId="0" borderId="0" xfId="0" applyNumberFormat="1" applyFont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vertical="top"/>
    </xf>
    <xf numFmtId="14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14" fontId="4" fillId="0" borderId="0" xfId="0" applyNumberFormat="1" applyFont="1" applyAlignment="1">
      <alignment vertical="top"/>
    </xf>
    <xf numFmtId="0" fontId="4" fillId="0" borderId="0" xfId="2" applyFont="1"/>
    <xf numFmtId="167" fontId="4" fillId="0" borderId="0" xfId="0" applyNumberFormat="1" applyFont="1"/>
    <xf numFmtId="179" fontId="4" fillId="0" borderId="0" xfId="0" applyNumberFormat="1" applyFont="1"/>
    <xf numFmtId="0" fontId="6" fillId="0" borderId="0" xfId="2" applyFont="1" applyAlignment="1">
      <alignment horizontal="center" wrapText="1"/>
    </xf>
    <xf numFmtId="0" fontId="4" fillId="0" borderId="0" xfId="2" applyFont="1" applyAlignment="1">
      <alignment horizontal="right"/>
    </xf>
    <xf numFmtId="169" fontId="6" fillId="0" borderId="0" xfId="1" applyNumberFormat="1" applyFont="1" applyAlignment="1">
      <alignment horizontal="center"/>
    </xf>
    <xf numFmtId="172" fontId="6" fillId="0" borderId="0" xfId="1" applyNumberFormat="1" applyFont="1" applyAlignment="1">
      <alignment horizontal="center"/>
    </xf>
    <xf numFmtId="0" fontId="4" fillId="0" borderId="0" xfId="2" applyFont="1" applyAlignment="1">
      <alignment horizontal="center" wrapText="1"/>
    </xf>
    <xf numFmtId="0" fontId="4" fillId="0" borderId="0" xfId="2" applyFont="1" applyAlignment="1">
      <alignment horizontal="center" vertical="top" wrapText="1"/>
    </xf>
    <xf numFmtId="0" fontId="4" fillId="0" borderId="0" xfId="2" applyFont="1" applyAlignment="1">
      <alignment horizontal="center"/>
    </xf>
    <xf numFmtId="170" fontId="4" fillId="0" borderId="0" xfId="2" applyNumberFormat="1" applyFont="1"/>
    <xf numFmtId="166" fontId="4" fillId="0" borderId="0" xfId="2" applyNumberFormat="1" applyFont="1" applyAlignment="1">
      <alignment horizontal="center"/>
    </xf>
    <xf numFmtId="171" fontId="10" fillId="0" borderId="0" xfId="2" applyNumberFormat="1" applyFont="1"/>
    <xf numFmtId="1" fontId="4" fillId="0" borderId="0" xfId="2" applyNumberFormat="1" applyFont="1"/>
    <xf numFmtId="168" fontId="4" fillId="0" borderId="0" xfId="2" applyNumberFormat="1" applyFont="1"/>
    <xf numFmtId="172" fontId="4" fillId="0" borderId="0" xfId="2" applyNumberFormat="1" applyFont="1"/>
    <xf numFmtId="0" fontId="11" fillId="3" borderId="0" xfId="0" applyFont="1" applyFill="1"/>
    <xf numFmtId="0" fontId="11" fillId="0" borderId="0" xfId="0" applyFont="1"/>
    <xf numFmtId="0" fontId="1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1" fillId="0" borderId="0" xfId="0" quotePrefix="1" applyFont="1" applyAlignment="1">
      <alignment horizontal="left" indent="1"/>
    </xf>
    <xf numFmtId="164" fontId="11" fillId="0" borderId="0" xfId="1" applyNumberFormat="1" applyFont="1"/>
    <xf numFmtId="0" fontId="11" fillId="0" borderId="0" xfId="0" applyFont="1" applyAlignment="1">
      <alignment horizontal="left" indent="1"/>
    </xf>
    <xf numFmtId="12" fontId="11" fillId="0" borderId="0" xfId="0" applyNumberFormat="1" applyFont="1" applyAlignment="1">
      <alignment horizontal="right"/>
    </xf>
    <xf numFmtId="165" fontId="11" fillId="0" borderId="0" xfId="1" applyNumberFormat="1" applyFont="1"/>
    <xf numFmtId="0" fontId="11" fillId="0" borderId="0" xfId="0" quotePrefix="1" applyFont="1" applyAlignment="1">
      <alignment horizontal="left"/>
    </xf>
    <xf numFmtId="0" fontId="11" fillId="0" borderId="12" xfId="0" applyFont="1" applyBorder="1" applyAlignment="1">
      <alignment horizontal="left" indent="1"/>
    </xf>
    <xf numFmtId="0" fontId="11" fillId="0" borderId="0" xfId="0" applyFont="1" applyBorder="1"/>
    <xf numFmtId="0" fontId="14" fillId="0" borderId="0" xfId="0" applyFont="1" applyBorder="1"/>
    <xf numFmtId="0" fontId="4" fillId="4" borderId="2" xfId="0" applyFont="1" applyFill="1" applyBorder="1"/>
    <xf numFmtId="0" fontId="4" fillId="4" borderId="3" xfId="0" applyFont="1" applyFill="1" applyBorder="1"/>
    <xf numFmtId="0" fontId="5" fillId="4" borderId="3" xfId="0" applyFont="1" applyFill="1" applyBorder="1"/>
    <xf numFmtId="0" fontId="4" fillId="4" borderId="4" xfId="0" applyFont="1" applyFill="1" applyBorder="1"/>
    <xf numFmtId="0" fontId="4" fillId="4" borderId="5" xfId="0" applyFont="1" applyFill="1" applyBorder="1"/>
    <xf numFmtId="0" fontId="4" fillId="4" borderId="0" xfId="0" applyFont="1" applyFill="1" applyBorder="1"/>
    <xf numFmtId="0" fontId="4" fillId="4" borderId="6" xfId="0" applyFont="1" applyFill="1" applyBorder="1"/>
    <xf numFmtId="174" fontId="4" fillId="4" borderId="0" xfId="0" applyNumberFormat="1" applyFont="1" applyFill="1" applyBorder="1" applyAlignment="1">
      <alignment horizontal="left"/>
    </xf>
    <xf numFmtId="0" fontId="4" fillId="4" borderId="9" xfId="0" applyFont="1" applyFill="1" applyBorder="1"/>
    <xf numFmtId="0" fontId="4" fillId="4" borderId="10" xfId="0" applyFont="1" applyFill="1" applyBorder="1"/>
    <xf numFmtId="0" fontId="4" fillId="4" borderId="11" xfId="0" applyFont="1" applyFill="1" applyBorder="1"/>
    <xf numFmtId="0" fontId="4" fillId="4" borderId="0" xfId="0" applyFont="1" applyFill="1"/>
    <xf numFmtId="0" fontId="4" fillId="4" borderId="5" xfId="0" applyFont="1" applyFill="1" applyBorder="1" applyAlignment="1">
      <alignment horizontal="right"/>
    </xf>
    <xf numFmtId="177" fontId="4" fillId="4" borderId="0" xfId="0" applyNumberFormat="1" applyFont="1" applyFill="1" applyBorder="1" applyAlignment="1">
      <alignment horizontal="left"/>
    </xf>
    <xf numFmtId="175" fontId="4" fillId="4" borderId="0" xfId="0" applyNumberFormat="1" applyFont="1" applyFill="1" applyBorder="1" applyAlignment="1">
      <alignment horizontal="center"/>
    </xf>
    <xf numFmtId="175" fontId="4" fillId="4" borderId="6" xfId="0" applyNumberFormat="1" applyFont="1" applyFill="1" applyBorder="1" applyAlignment="1">
      <alignment horizontal="center"/>
    </xf>
    <xf numFmtId="0" fontId="4" fillId="4" borderId="7" xfId="0" applyFont="1" applyFill="1" applyBorder="1"/>
    <xf numFmtId="177" fontId="4" fillId="4" borderId="1" xfId="0" applyNumberFormat="1" applyFont="1" applyFill="1" applyBorder="1"/>
    <xf numFmtId="0" fontId="4" fillId="4" borderId="1" xfId="0" applyFont="1" applyFill="1" applyBorder="1"/>
    <xf numFmtId="176" fontId="4" fillId="4" borderId="0" xfId="0" applyNumberFormat="1" applyFont="1" applyFill="1" applyBorder="1"/>
    <xf numFmtId="178" fontId="4" fillId="4" borderId="0" xfId="0" applyNumberFormat="1" applyFont="1" applyFill="1" applyBorder="1" applyAlignment="1">
      <alignment horizontal="right"/>
    </xf>
    <xf numFmtId="178" fontId="4" fillId="4" borderId="0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177" fontId="4" fillId="4" borderId="8" xfId="0" applyNumberFormat="1" applyFont="1" applyFill="1" applyBorder="1" applyAlignment="1">
      <alignment horizontal="center"/>
    </xf>
    <xf numFmtId="178" fontId="4" fillId="4" borderId="6" xfId="0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4" fillId="0" borderId="0" xfId="0" applyFont="1" applyAlignment="1">
      <alignment vertical="top" wrapText="1"/>
    </xf>
    <xf numFmtId="0" fontId="18" fillId="0" borderId="0" xfId="2" applyFont="1" applyAlignment="1">
      <alignment horizontal="center" wrapText="1"/>
    </xf>
    <xf numFmtId="0" fontId="11" fillId="0" borderId="0" xfId="0" quotePrefix="1" applyFont="1"/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2" fontId="11" fillId="0" borderId="0" xfId="0" applyNumberFormat="1" applyFont="1"/>
    <xf numFmtId="165" fontId="11" fillId="0" borderId="0" xfId="1" applyNumberFormat="1" applyFont="1" applyAlignment="1">
      <alignment horizontal="left"/>
    </xf>
    <xf numFmtId="169" fontId="11" fillId="0" borderId="0" xfId="0" applyNumberFormat="1" applyFont="1" applyFill="1"/>
    <xf numFmtId="0" fontId="11" fillId="0" borderId="0" xfId="0" applyFont="1" applyBorder="1" applyAlignment="1">
      <alignment horizontal="left" indent="1"/>
    </xf>
    <xf numFmtId="0" fontId="5" fillId="0" borderId="0" xfId="0" applyFont="1" applyFill="1"/>
    <xf numFmtId="0" fontId="5" fillId="0" borderId="0" xfId="0" applyFont="1" applyBorder="1" applyAlignment="1">
      <alignment horizontal="left"/>
    </xf>
    <xf numFmtId="169" fontId="11" fillId="0" borderId="0" xfId="0" applyNumberFormat="1" applyFont="1"/>
    <xf numFmtId="169" fontId="21" fillId="0" borderId="0" xfId="0" applyNumberFormat="1" applyFont="1" applyFill="1"/>
    <xf numFmtId="165" fontId="4" fillId="0" borderId="0" xfId="1" applyNumberFormat="1" applyFont="1" applyBorder="1" applyAlignment="1"/>
    <xf numFmtId="0" fontId="24" fillId="0" borderId="0" xfId="0" applyFont="1" applyBorder="1"/>
    <xf numFmtId="0" fontId="14" fillId="0" borderId="0" xfId="0" applyFont="1" applyBorder="1" applyAlignment="1">
      <alignment horizontal="center"/>
    </xf>
    <xf numFmtId="0" fontId="25" fillId="0" borderId="0" xfId="0" applyFont="1" applyFill="1" applyAlignment="1">
      <alignment horizontal="left"/>
    </xf>
    <xf numFmtId="165" fontId="23" fillId="0" borderId="0" xfId="1" applyNumberFormat="1" applyFont="1" applyBorder="1" applyAlignment="1"/>
    <xf numFmtId="169" fontId="17" fillId="0" borderId="15" xfId="0" applyNumberFormat="1" applyFont="1" applyFill="1" applyBorder="1"/>
    <xf numFmtId="167" fontId="6" fillId="0" borderId="0" xfId="0" applyNumberFormat="1" applyFont="1" applyAlignment="1">
      <alignment horizontal="center"/>
    </xf>
    <xf numFmtId="0" fontId="21" fillId="0" borderId="0" xfId="0" applyFont="1" applyBorder="1" applyAlignment="1">
      <alignment horizontal="left" indent="1"/>
    </xf>
    <xf numFmtId="0" fontId="26" fillId="0" borderId="0" xfId="2" applyFont="1" applyAlignment="1">
      <alignment horizontal="center" wrapText="1"/>
    </xf>
    <xf numFmtId="0" fontId="28" fillId="0" borderId="0" xfId="0" applyFont="1"/>
    <xf numFmtId="167" fontId="4" fillId="0" borderId="0" xfId="0" applyNumberFormat="1" applyFont="1" applyAlignment="1">
      <alignment horizontal="center" vertical="top"/>
    </xf>
    <xf numFmtId="16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Protection="1"/>
    <xf numFmtId="0" fontId="11" fillId="0" borderId="0" xfId="0" applyFont="1" applyFill="1" applyBorder="1"/>
    <xf numFmtId="0" fontId="5" fillId="4" borderId="0" xfId="0" applyFont="1" applyFill="1" applyBorder="1"/>
    <xf numFmtId="49" fontId="6" fillId="2" borderId="0" xfId="1" applyNumberFormat="1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/>
      <protection locked="0"/>
    </xf>
    <xf numFmtId="14" fontId="4" fillId="2" borderId="0" xfId="0" applyNumberFormat="1" applyFont="1" applyFill="1" applyAlignment="1" applyProtection="1">
      <alignment horizontal="left"/>
      <protection locked="0"/>
    </xf>
    <xf numFmtId="0" fontId="7" fillId="0" borderId="0" xfId="0" applyFont="1" applyAlignment="1">
      <alignment horizontal="left" indent="1"/>
    </xf>
    <xf numFmtId="14" fontId="7" fillId="0" borderId="0" xfId="0" applyNumberFormat="1" applyFont="1" applyAlignment="1">
      <alignment horizontal="left"/>
    </xf>
    <xf numFmtId="49" fontId="4" fillId="5" borderId="0" xfId="0" applyNumberFormat="1" applyFont="1" applyFill="1" applyAlignment="1" applyProtection="1">
      <alignment horizontal="left"/>
      <protection locked="0"/>
    </xf>
    <xf numFmtId="14" fontId="4" fillId="5" borderId="0" xfId="0" applyNumberFormat="1" applyFont="1" applyFill="1" applyAlignment="1" applyProtection="1">
      <alignment horizontal="left"/>
      <protection locked="0"/>
    </xf>
    <xf numFmtId="14" fontId="4" fillId="0" borderId="0" xfId="0" applyNumberFormat="1" applyFont="1" applyFill="1" applyAlignment="1">
      <alignment horizontal="center"/>
    </xf>
    <xf numFmtId="173" fontId="4" fillId="5" borderId="0" xfId="0" quotePrefix="1" applyNumberFormat="1" applyFont="1" applyFill="1" applyAlignment="1" applyProtection="1">
      <alignment horizontal="left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/>
    <xf numFmtId="0" fontId="4" fillId="0" borderId="6" xfId="0" applyFont="1" applyBorder="1" applyAlignment="1"/>
    <xf numFmtId="0" fontId="5" fillId="3" borderId="0" xfId="0" applyFont="1" applyFill="1" applyAlignment="1">
      <alignment horizontal="center"/>
    </xf>
    <xf numFmtId="0" fontId="4" fillId="0" borderId="0" xfId="0" applyNumberFormat="1" applyFont="1" applyAlignment="1">
      <alignment horizontal="left"/>
    </xf>
    <xf numFmtId="169" fontId="14" fillId="0" borderId="0" xfId="1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16" fillId="3" borderId="0" xfId="0" applyFont="1" applyFill="1" applyAlignment="1">
      <alignment horizontal="center"/>
    </xf>
    <xf numFmtId="0" fontId="17" fillId="0" borderId="13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5" fillId="0" borderId="0" xfId="2" applyFont="1" applyAlignment="1">
      <alignment horizontal="center"/>
    </xf>
    <xf numFmtId="0" fontId="20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_Site 5 breach hyd1" xfId="2" xr:uid="{00000000-0005-0000-0000-000002000000}"/>
  </cellStyles>
  <dxfs count="3">
    <dxf>
      <font>
        <b val="0"/>
        <i val="0"/>
        <strike val="0"/>
        <condense val="0"/>
        <extend val="0"/>
        <color indexed="23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499984740745262"/>
      </font>
    </dxf>
  </dxfs>
  <tableStyles count="0" defaultTableStyle="TableStyleMedium9" defaultPivotStyle="PivotStyleLight16"/>
  <colors>
    <mruColors>
      <color rgb="FFFFFFCC"/>
      <color rgb="FFFF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Upper Bound,</a:t>
            </a:r>
            <a:r>
              <a:rPr lang="en-US" b="1" baseline="0"/>
              <a:t> Value, Lower Bound for Low Dams </a:t>
            </a:r>
            <a:r>
              <a:rPr lang="en-US" baseline="0"/>
              <a:t>(H</a:t>
            </a:r>
            <a:r>
              <a:rPr lang="en-US" baseline="-25000"/>
              <a:t>w</a:t>
            </a:r>
            <a:r>
              <a:rPr lang="en-US" baseline="0"/>
              <a:t> &lt; 103')</a:t>
            </a:r>
            <a:endParaRPr lang="en-US"/>
          </a:p>
        </c:rich>
      </c:tx>
      <c:layout>
        <c:manualLayout>
          <c:xMode val="edge"/>
          <c:yMode val="edge"/>
          <c:x val="0.18390928203272033"/>
          <c:y val="7.797269359432833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94755248119977"/>
          <c:y val="0.12917824701841013"/>
          <c:w val="0.85302440222568976"/>
          <c:h val="0.76391618506119052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wdDnDiag">
              <a:fgClr>
                <a:schemeClr val="tx1"/>
              </a:fgClr>
              <a:bgClr>
                <a:schemeClr val="bg1"/>
              </a:bgClr>
            </a:pattFill>
            <a:ln w="19050">
              <a:solidFill>
                <a:schemeClr val="tx1"/>
              </a:solidFill>
            </a:ln>
            <a:effectLst/>
            <a:scene3d>
              <a:camera prst="orthographicFront"/>
              <a:lightRig rig="threePt" dir="t"/>
            </a:scene3d>
            <a:sp3d>
              <a:bevelT w="88900"/>
              <a:bevelB/>
            </a:sp3d>
          </c:spPr>
          <c:invertIfNegative val="0"/>
          <c:dPt>
            <c:idx val="1"/>
            <c:invertIfNegative val="0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889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1-BC95-4AD8-8BD9-EB90F29E8890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889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3-BC95-4AD8-8BD9-EB90F29E8890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889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5-BC95-4AD8-8BD9-EB90F29E8890}"/>
              </c:ext>
            </c:extLst>
          </c:dPt>
          <c:cat>
            <c:strRef>
              <c:f>'TR-60 Breach Qmax'!$A$25:$A$28</c:f>
              <c:strCache>
                <c:ptCount val="4"/>
                <c:pt idx="0">
                  <c:v>Upper Bound</c:v>
                </c:pt>
                <c:pt idx="1">
                  <c:v>Value</c:v>
                </c:pt>
                <c:pt idx="2">
                  <c:v>Lower Bound</c:v>
                </c:pt>
                <c:pt idx="3">
                  <c:v>Qmax</c:v>
                </c:pt>
              </c:strCache>
            </c:strRef>
          </c:cat>
          <c:val>
            <c:numRef>
              <c:f>'TR-60 Breach Qmax'!$B$25:$B$28</c:f>
              <c:numCache>
                <c:formatCode>#,##0\ "cfs"</c:formatCode>
                <c:ptCount val="4"/>
                <c:pt idx="0">
                  <c:v>90366.583811230434</c:v>
                </c:pt>
                <c:pt idx="1">
                  <c:v>136005.47417404302</c:v>
                </c:pt>
                <c:pt idx="2">
                  <c:v>56568.542494923749</c:v>
                </c:pt>
                <c:pt idx="3">
                  <c:v>90400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95-4AD8-8BD9-EB90F29E8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8448352"/>
        <c:axId val="368448744"/>
      </c:barChart>
      <c:catAx>
        <c:axId val="36844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448744"/>
        <c:crosses val="autoZero"/>
        <c:auto val="1"/>
        <c:lblAlgn val="ctr"/>
        <c:lblOffset val="100"/>
        <c:noMultiLvlLbl val="0"/>
      </c:catAx>
      <c:valAx>
        <c:axId val="368448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cfs&quot;" sourceLinked="1"/>
        <c:majorTickMark val="in"/>
        <c:minorTickMark val="in"/>
        <c:tickLblPos val="low"/>
        <c:spPr>
          <a:noFill/>
          <a:ln>
            <a:solidFill>
              <a:schemeClr val="tx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448352"/>
        <c:crosses val="autoZero"/>
        <c:crossBetween val="between"/>
      </c:valAx>
      <c:spPr>
        <a:solidFill>
          <a:srgbClr val="FFFFCC">
            <a:alpha val="28000"/>
          </a:srgbClr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/>
              <a:t>TR-66 Dam Breach Curvilinear Hydrograph</a:t>
            </a:r>
            <a:br>
              <a:rPr lang="en-US" sz="1400" b="1"/>
            </a:br>
            <a:r>
              <a:rPr lang="en-US" sz="1400" b="1"/>
              <a:t>Peak</a:t>
            </a:r>
            <a:r>
              <a:rPr lang="en-US" sz="1400" b="1" baseline="0"/>
              <a:t> Q = TR-60 Q</a:t>
            </a:r>
            <a:r>
              <a:rPr lang="en-US" sz="1400" b="1" baseline="-25000"/>
              <a:t>max</a:t>
            </a:r>
          </a:p>
        </c:rich>
      </c:tx>
      <c:layout>
        <c:manualLayout>
          <c:xMode val="edge"/>
          <c:yMode val="edge"/>
          <c:x val="0.1878556263269639"/>
          <c:y val="1.76639731057239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60543890458887"/>
          <c:y val="0.17202519106599287"/>
          <c:w val="0.75867083493544318"/>
          <c:h val="0.6775800958764451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'Breach Hydrograph'!$D$9</c:f>
              <c:strCache>
                <c:ptCount val="1"/>
                <c:pt idx="0">
                  <c:v>Breach Outflow
cfs</c:v>
                </c:pt>
              </c:strCache>
            </c:strRef>
          </c:tx>
          <c:spPr>
            <a:ln w="1905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'Breach Hydrograph'!$C$10:$C$70</c:f>
              <c:numCache>
                <c:formatCode>0.0\ "hr"</c:formatCode>
                <c:ptCount val="6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</c:numCache>
            </c:numRef>
          </c:xVal>
          <c:yVal>
            <c:numRef>
              <c:f>'Breach Hydrograph'!$D$10:$D$70</c:f>
              <c:numCache>
                <c:formatCode>0</c:formatCode>
                <c:ptCount val="61"/>
                <c:pt idx="0" formatCode="General">
                  <c:v>0</c:v>
                </c:pt>
                <c:pt idx="1">
                  <c:v>90400</c:v>
                </c:pt>
                <c:pt idx="2">
                  <c:v>67047.497905886208</c:v>
                </c:pt>
                <c:pt idx="3">
                  <c:v>57741.710881953615</c:v>
                </c:pt>
                <c:pt idx="4">
                  <c:v>49727.510790263441</c:v>
                </c:pt>
                <c:pt idx="5">
                  <c:v>42825.633179646815</c:v>
                </c:pt>
                <c:pt idx="6">
                  <c:v>36881.694420078777</c:v>
                </c:pt>
                <c:pt idx="7">
                  <c:v>31762.73839525022</c:v>
                </c:pt>
                <c:pt idx="8">
                  <c:v>27354.262493316004</c:v>
                </c:pt>
                <c:pt idx="9">
                  <c:v>23557.656372132198</c:v>
                </c:pt>
                <c:pt idx="10">
                  <c:v>20287.996208381272</c:v>
                </c:pt>
                <c:pt idx="11">
                  <c:v>17472.145091572136</c:v>
                </c:pt>
                <c:pt idx="12">
                  <c:v>15047.117071859178</c:v>
                </c:pt>
                <c:pt idx="13">
                  <c:v>12958.668268125246</c:v>
                </c:pt>
                <c:pt idx="14">
                  <c:v>11160.083521737861</c:v>
                </c:pt>
                <c:pt idx="15">
                  <c:v>9611.131455422581</c:v>
                </c:pt>
                <c:pt idx="16">
                  <c:v>8277.1645636419689</c:v>
                </c:pt>
                <c:pt idx="17">
                  <c:v>7128.3442049849773</c:v>
                </c:pt>
                <c:pt idx="18">
                  <c:v>6138.973160923234</c:v>
                </c:pt>
                <c:pt idx="19">
                  <c:v>5286.9208313735235</c:v>
                </c:pt>
                <c:pt idx="20">
                  <c:v>4553.1282096381883</c:v>
                </c:pt>
                <c:pt idx="21">
                  <c:v>3921.1815638285657</c:v>
                </c:pt>
                <c:pt idx="22">
                  <c:v>3376.9452887272978</c:v>
                </c:pt>
                <c:pt idx="23">
                  <c:v>2908.2457155906568</c:v>
                </c:pt>
                <c:pt idx="24">
                  <c:v>2504.5988072371201</c:v>
                </c:pt>
                <c:pt idx="25">
                  <c:v>2156.9756474100327</c:v>
                </c:pt>
                <c:pt idx="26">
                  <c:v>1857.6004787977422</c:v>
                </c:pt>
                <c:pt idx="27">
                  <c:v>1599.7767721545538</c:v>
                </c:pt>
                <c:pt idx="28">
                  <c:v>1377.7374359752746</c:v>
                </c:pt>
                <c:pt idx="29">
                  <c:v>1186.515816160595</c:v>
                </c:pt>
                <c:pt idx="30">
                  <c:v>1021.8346001483764</c:v>
                </c:pt>
                <c:pt idx="31">
                  <c:v>880.0101404792955</c:v>
                </c:pt>
                <c:pt idx="32">
                  <c:v>757.87005767268022</c:v>
                </c:pt>
                <c:pt idx="33">
                  <c:v>652.68227932460422</c:v>
                </c:pt>
                <c:pt idx="34">
                  <c:v>562.09392814981095</c:v>
                </c:pt>
                <c:pt idx="35">
                  <c:v>484.07869199364347</c:v>
                </c:pt>
                <c:pt idx="36">
                  <c:v>416.89149856787367</c:v>
                </c:pt>
                <c:pt idx="37">
                  <c:v>359.02948105893762</c:v>
                </c:pt>
                <c:pt idx="38">
                  <c:v>309.19836147357563</c:v>
                </c:pt>
                <c:pt idx="39">
                  <c:v>266.28349977268294</c:v>
                </c:pt>
                <c:pt idx="40">
                  <c:v>229.32496121021057</c:v>
                </c:pt>
                <c:pt idx="41">
                  <c:v>197.49604417456882</c:v>
                </c:pt>
                <c:pt idx="42">
                  <c:v>170.0847882357194</c:v>
                </c:pt>
                <c:pt idx="43">
                  <c:v>146.47804876344264</c:v>
                </c:pt>
                <c:pt idx="44">
                  <c:v>126.1477818922292</c:v>
                </c:pt>
                <c:pt idx="45">
                  <c:v>108.63923305005797</c:v>
                </c:pt>
                <c:pt idx="46">
                  <c:v>93.560764847913902</c:v>
                </c:pt>
                <c:pt idx="47">
                  <c:v>80.575096796690801</c:v>
                </c:pt>
                <c:pt idx="48">
                  <c:v>69.391760898380895</c:v>
                </c:pt>
                <c:pt idx="49">
                  <c:v>59.760604355560922</c:v>
                </c:pt>
                <c:pt idx="50">
                  <c:v>51.466194065486178</c:v>
                </c:pt>
                <c:pt idx="51">
                  <c:v>44.32299773654838</c:v>
                </c:pt>
                <c:pt idx="52">
                  <c:v>38.171233836610902</c:v>
                </c:pt>
                <c:pt idx="53">
                  <c:v>32.873297543405172</c:v>
                </c:pt>
                <c:pt idx="54">
                  <c:v>28.310682751385631</c:v>
                </c:pt>
                <c:pt idx="55">
                  <c:v>24.381331285409686</c:v>
                </c:pt>
                <c:pt idx="56">
                  <c:v>20.997350027519257</c:v>
                </c:pt>
                <c:pt idx="57">
                  <c:v>18.083044892712657</c:v>
                </c:pt>
                <c:pt idx="58">
                  <c:v>15.573227676982938</c:v>
                </c:pt>
                <c:pt idx="59">
                  <c:v>13.411757904603993</c:v>
                </c:pt>
                <c:pt idx="60">
                  <c:v>11.550287058190319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B4-41EC-B512-C9FD421A6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956464"/>
        <c:axId val="245956856"/>
      </c:scatterChart>
      <c:valAx>
        <c:axId val="245956464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(hours)</a:t>
                </a:r>
              </a:p>
            </c:rich>
          </c:tx>
          <c:layout>
            <c:manualLayout>
              <c:xMode val="edge"/>
              <c:yMode val="edge"/>
              <c:x val="0.38853583742999731"/>
              <c:y val="0.92876109102012261"/>
            </c:manualLayout>
          </c:layout>
          <c:overlay val="0"/>
          <c:spPr>
            <a:noFill/>
            <a:ln w="25400">
              <a:noFill/>
            </a:ln>
          </c:spPr>
        </c:title>
        <c:numFmt formatCode="0\ &quot;hr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45956856"/>
        <c:crosses val="autoZero"/>
        <c:crossBetween val="midCat"/>
      </c:valAx>
      <c:valAx>
        <c:axId val="2459568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</a:t>
                </a:r>
              </a:p>
            </c:rich>
          </c:tx>
          <c:layout>
            <c:manualLayout>
              <c:xMode val="edge"/>
              <c:yMode val="edge"/>
              <c:x val="1.0615733263114683E-2"/>
              <c:y val="0.511874010391774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&quot;cfs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45956464"/>
        <c:crosses val="autoZero"/>
        <c:crossBetween val="midCat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59888214610115"/>
          <c:y val="0.32526814313500085"/>
          <c:w val="0.26963962488311194"/>
          <c:h val="0.100263981416945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3175">
      <a:solidFill>
        <a:srgbClr val="000000"/>
      </a:solidFill>
      <a:prstDash val="solid"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>
      <c:oddHeader>&amp;C&amp;"Garamond,Bold"&amp;14COPY OF TR-66 BREACH HYDROGRAPH - Hazard Study of Dam&amp;12s</c:oddHeader>
      <c:oddFooter>&amp;C&amp;"Garamond,Regular"&amp;12Prepared by USDA-NRCS &amp;D&amp;R&amp;"Garamond,Regular"Page &amp;P</c:oddFooter>
    </c:headerFooter>
    <c:pageMargins b="1" l="0.750000000000002" r="0.750000000000002" t="1" header="0.5" footer="0.5"/>
    <c:pageSetup orientation="landscape" horizontalDpi="-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723900</xdr:colOff>
      <xdr:row>27</xdr:row>
      <xdr:rowOff>152400</xdr:rowOff>
    </xdr:from>
    <xdr:to>
      <xdr:col>9</xdr:col>
      <xdr:colOff>304800</xdr:colOff>
      <xdr:row>38</xdr:row>
      <xdr:rowOff>19050</xdr:rowOff>
    </xdr:to>
    <xdr:sp macro="" textlink="">
      <xdr:nvSpPr>
        <xdr:cNvPr id="26" name="Freeform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934075" y="4505325"/>
          <a:ext cx="2562225" cy="1647825"/>
        </a:xfrm>
        <a:custGeom>
          <a:avLst/>
          <a:gdLst>
            <a:gd name="connsiteX0" fmla="*/ 2562225 w 2562225"/>
            <a:gd name="connsiteY0" fmla="*/ 0 h 1647825"/>
            <a:gd name="connsiteX1" fmla="*/ 2505075 w 2562225"/>
            <a:gd name="connsiteY1" fmla="*/ 1276350 h 1647825"/>
            <a:gd name="connsiteX2" fmla="*/ 1476375 w 2562225"/>
            <a:gd name="connsiteY2" fmla="*/ 1647825 h 1647825"/>
            <a:gd name="connsiteX3" fmla="*/ 0 w 2562225"/>
            <a:gd name="connsiteY3" fmla="*/ 9525 h 1647825"/>
            <a:gd name="connsiteX4" fmla="*/ 2562225 w 2562225"/>
            <a:gd name="connsiteY4" fmla="*/ 0 h 16478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562225" h="1647825">
              <a:moveTo>
                <a:pt x="2562225" y="0"/>
              </a:moveTo>
              <a:lnTo>
                <a:pt x="2505075" y="1276350"/>
              </a:lnTo>
              <a:lnTo>
                <a:pt x="1476375" y="1647825"/>
              </a:lnTo>
              <a:lnTo>
                <a:pt x="0" y="9525"/>
              </a:lnTo>
              <a:lnTo>
                <a:pt x="2562225" y="0"/>
              </a:lnTo>
              <a:close/>
            </a:path>
          </a:pathLst>
        </a:custGeom>
        <a:solidFill>
          <a:srgbClr val="66FFFF">
            <a:alpha val="20000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9525</xdr:colOff>
      <xdr:row>4</xdr:row>
      <xdr:rowOff>152400</xdr:rowOff>
    </xdr:from>
    <xdr:to>
      <xdr:col>9</xdr:col>
      <xdr:colOff>352425</xdr:colOff>
      <xdr:row>15</xdr:row>
      <xdr:rowOff>9525</xdr:rowOff>
    </xdr:to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>
          <a:spLocks noChangeArrowheads="1"/>
        </xdr:cNvSpPr>
      </xdr:nvSpPr>
      <xdr:spPr bwMode="auto">
        <a:xfrm rot="16200000">
          <a:off x="6391275" y="190500"/>
          <a:ext cx="1809750" cy="2495550"/>
        </a:xfrm>
        <a:prstGeom prst="triangle">
          <a:avLst>
            <a:gd name="adj" fmla="val 50000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Reservoir</a:t>
          </a:r>
        </a:p>
      </xdr:txBody>
    </xdr:sp>
    <xdr:clientData/>
  </xdr:twoCellAnchor>
  <xdr:twoCellAnchor>
    <xdr:from>
      <xdr:col>9</xdr:col>
      <xdr:colOff>219075</xdr:colOff>
      <xdr:row>4</xdr:row>
      <xdr:rowOff>152400</xdr:rowOff>
    </xdr:from>
    <xdr:to>
      <xdr:col>9</xdr:col>
      <xdr:colOff>514350</xdr:colOff>
      <xdr:row>15</xdr:row>
      <xdr:rowOff>28575</xdr:rowOff>
    </xdr:to>
    <xdr:sp macro="" textlink="">
      <xdr:nvSpPr>
        <xdr:cNvPr id="3073" name="AutoShap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8410575" y="533400"/>
          <a:ext cx="295275" cy="1828800"/>
        </a:xfrm>
        <a:prstGeom prst="diamond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+mn-lt"/>
              <a:cs typeface="Arial"/>
            </a:rPr>
            <a:t>Dam</a:t>
          </a:r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14</xdr:row>
      <xdr:rowOff>152400</xdr:rowOff>
    </xdr:to>
    <xdr:sp macro="" textlink="">
      <xdr:nvSpPr>
        <xdr:cNvPr id="3075" name="Line 3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>
          <a:spLocks noChangeShapeType="1"/>
        </xdr:cNvSpPr>
      </xdr:nvSpPr>
      <xdr:spPr bwMode="auto">
        <a:xfrm>
          <a:off x="8877300" y="542925"/>
          <a:ext cx="0" cy="1781175"/>
        </a:xfrm>
        <a:prstGeom prst="line">
          <a:avLst/>
        </a:prstGeom>
        <a:noFill/>
        <a:ln w="12700">
          <a:solidFill>
            <a:srgbClr val="000000"/>
          </a:solidFill>
          <a:round/>
          <a:headEnd type="stealth" w="lg" len="lg"/>
          <a:tailEnd type="stealth" w="lg" len="lg"/>
        </a:ln>
      </xdr:spPr>
    </xdr:sp>
    <xdr:clientData/>
  </xdr:twoCellAnchor>
  <xdr:twoCellAnchor>
    <xdr:from>
      <xdr:col>9</xdr:col>
      <xdr:colOff>409575</xdr:colOff>
      <xdr:row>15</xdr:row>
      <xdr:rowOff>0</xdr:rowOff>
    </xdr:from>
    <xdr:to>
      <xdr:col>10</xdr:col>
      <xdr:colOff>133350</xdr:colOff>
      <xdr:row>15</xdr:row>
      <xdr:rowOff>9525</xdr:rowOff>
    </xdr:to>
    <xdr:sp macro="" textlink="">
      <xdr:nvSpPr>
        <xdr:cNvPr id="3076" name="Line 4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>
          <a:spLocks noChangeShapeType="1"/>
        </xdr:cNvSpPr>
      </xdr:nvSpPr>
      <xdr:spPr bwMode="auto">
        <a:xfrm flipV="1">
          <a:off x="8601075" y="2333625"/>
          <a:ext cx="409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419100</xdr:colOff>
      <xdr:row>4</xdr:row>
      <xdr:rowOff>152400</xdr:rowOff>
    </xdr:from>
    <xdr:to>
      <xdr:col>10</xdr:col>
      <xdr:colOff>142875</xdr:colOff>
      <xdr:row>5</xdr:row>
      <xdr:rowOff>0</xdr:rowOff>
    </xdr:to>
    <xdr:sp macro="" textlink="">
      <xdr:nvSpPr>
        <xdr:cNvPr id="3077" name="Line 5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>
          <a:spLocks noChangeShapeType="1"/>
        </xdr:cNvSpPr>
      </xdr:nvSpPr>
      <xdr:spPr bwMode="auto">
        <a:xfrm flipV="1">
          <a:off x="8610600" y="533400"/>
          <a:ext cx="409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361950</xdr:colOff>
      <xdr:row>27</xdr:row>
      <xdr:rowOff>152400</xdr:rowOff>
    </xdr:from>
    <xdr:to>
      <xdr:col>10</xdr:col>
      <xdr:colOff>371475</xdr:colOff>
      <xdr:row>37</xdr:row>
      <xdr:rowOff>152400</xdr:rowOff>
    </xdr:to>
    <xdr:sp macro="" textlink="">
      <xdr:nvSpPr>
        <xdr:cNvPr id="3078" name="AutoShape 6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>
          <a:spLocks noChangeArrowheads="1"/>
        </xdr:cNvSpPr>
      </xdr:nvSpPr>
      <xdr:spPr bwMode="auto">
        <a:xfrm flipV="1">
          <a:off x="7867650" y="4505325"/>
          <a:ext cx="1381125" cy="1619250"/>
        </a:xfrm>
        <a:custGeom>
          <a:avLst/>
          <a:gdLst>
            <a:gd name="G0" fmla="+- 8177 0 0"/>
            <a:gd name="G1" fmla="+- 21600 0 8177"/>
            <a:gd name="G2" fmla="*/ 8177 1 2"/>
            <a:gd name="G3" fmla="+- 21600 0 G2"/>
            <a:gd name="G4" fmla="+/ 8177 21600 2"/>
            <a:gd name="G5" fmla="+/ G1 0 2"/>
            <a:gd name="G6" fmla="*/ 21600 21600 8177"/>
            <a:gd name="G7" fmla="*/ G6 1 2"/>
            <a:gd name="G8" fmla="+- 21600 0 G7"/>
            <a:gd name="G9" fmla="*/ 21600 1 2"/>
            <a:gd name="G10" fmla="+- 8177 0 G9"/>
            <a:gd name="G11" fmla="?: G10 G8 0"/>
            <a:gd name="G12" fmla="?: G10 G7 21600"/>
            <a:gd name="T0" fmla="*/ 17511 w 21600"/>
            <a:gd name="T1" fmla="*/ 10800 h 21600"/>
            <a:gd name="T2" fmla="*/ 10800 w 21600"/>
            <a:gd name="T3" fmla="*/ 21600 h 21600"/>
            <a:gd name="T4" fmla="*/ 4089 w 21600"/>
            <a:gd name="T5" fmla="*/ 10800 h 21600"/>
            <a:gd name="T6" fmla="*/ 10800 w 21600"/>
            <a:gd name="T7" fmla="*/ 0 h 21600"/>
            <a:gd name="T8" fmla="*/ 5889 w 21600"/>
            <a:gd name="T9" fmla="*/ 5889 h 21600"/>
            <a:gd name="T10" fmla="*/ 15711 w 21600"/>
            <a:gd name="T11" fmla="*/ 15711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1600" h="21600">
              <a:moveTo>
                <a:pt x="0" y="0"/>
              </a:moveTo>
              <a:lnTo>
                <a:pt x="8177" y="21600"/>
              </a:lnTo>
              <a:lnTo>
                <a:pt x="13423" y="21600"/>
              </a:lnTo>
              <a:lnTo>
                <a:pt x="21600" y="0"/>
              </a:lnTo>
              <a:close/>
            </a:path>
          </a:pathLst>
        </a:custGeom>
        <a:solidFill>
          <a:srgbClr val="FFCC99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590550</xdr:colOff>
      <xdr:row>31</xdr:row>
      <xdr:rowOff>142875</xdr:rowOff>
    </xdr:from>
    <xdr:to>
      <xdr:col>9</xdr:col>
      <xdr:colOff>600075</xdr:colOff>
      <xdr:row>38</xdr:row>
      <xdr:rowOff>0</xdr:rowOff>
    </xdr:to>
    <xdr:sp macro="" textlink="">
      <xdr:nvSpPr>
        <xdr:cNvPr id="3079" name="AutoShape 7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>
          <a:spLocks noChangeArrowheads="1"/>
        </xdr:cNvSpPr>
      </xdr:nvSpPr>
      <xdr:spPr bwMode="auto">
        <a:xfrm flipV="1">
          <a:off x="7410450" y="5143500"/>
          <a:ext cx="1381125" cy="990600"/>
        </a:xfrm>
        <a:custGeom>
          <a:avLst/>
          <a:gdLst>
            <a:gd name="G0" fmla="+- 5809 0 0"/>
            <a:gd name="G1" fmla="+- 21600 0 5809"/>
            <a:gd name="G2" fmla="*/ 5809 1 2"/>
            <a:gd name="G3" fmla="+- 21600 0 G2"/>
            <a:gd name="G4" fmla="+/ 5809 21600 2"/>
            <a:gd name="G5" fmla="+/ G1 0 2"/>
            <a:gd name="G6" fmla="*/ 21600 21600 5809"/>
            <a:gd name="G7" fmla="*/ G6 1 2"/>
            <a:gd name="G8" fmla="+- 21600 0 G7"/>
            <a:gd name="G9" fmla="*/ 21600 1 2"/>
            <a:gd name="G10" fmla="+- 5809 0 G9"/>
            <a:gd name="G11" fmla="?: G10 G8 0"/>
            <a:gd name="G12" fmla="?: G10 G7 21600"/>
            <a:gd name="T0" fmla="*/ 18695 w 21600"/>
            <a:gd name="T1" fmla="*/ 10800 h 21600"/>
            <a:gd name="T2" fmla="*/ 10800 w 21600"/>
            <a:gd name="T3" fmla="*/ 21600 h 21600"/>
            <a:gd name="T4" fmla="*/ 2905 w 21600"/>
            <a:gd name="T5" fmla="*/ 10800 h 21600"/>
            <a:gd name="T6" fmla="*/ 10800 w 21600"/>
            <a:gd name="T7" fmla="*/ 0 h 21600"/>
            <a:gd name="T8" fmla="*/ 4705 w 21600"/>
            <a:gd name="T9" fmla="*/ 4705 h 21600"/>
            <a:gd name="T10" fmla="*/ 16895 w 21600"/>
            <a:gd name="T11" fmla="*/ 16895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1600" h="21600">
              <a:moveTo>
                <a:pt x="0" y="0"/>
              </a:moveTo>
              <a:lnTo>
                <a:pt x="5809" y="21600"/>
              </a:lnTo>
              <a:lnTo>
                <a:pt x="15791" y="21600"/>
              </a:lnTo>
              <a:lnTo>
                <a:pt x="21600" y="0"/>
              </a:lnTo>
              <a:close/>
            </a:path>
          </a:pathLst>
        </a:custGeom>
        <a:solidFill>
          <a:srgbClr val="FFCC99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95250</xdr:colOff>
      <xdr:row>31</xdr:row>
      <xdr:rowOff>142875</xdr:rowOff>
    </xdr:from>
    <xdr:to>
      <xdr:col>11</xdr:col>
      <xdr:colOff>104775</xdr:colOff>
      <xdr:row>38</xdr:row>
      <xdr:rowOff>0</xdr:rowOff>
    </xdr:to>
    <xdr:sp macro="" textlink="">
      <xdr:nvSpPr>
        <xdr:cNvPr id="3080" name="AutoShape 8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>
          <a:spLocks noChangeArrowheads="1"/>
        </xdr:cNvSpPr>
      </xdr:nvSpPr>
      <xdr:spPr bwMode="auto">
        <a:xfrm flipV="1">
          <a:off x="8286750" y="5143500"/>
          <a:ext cx="1381125" cy="990600"/>
        </a:xfrm>
        <a:custGeom>
          <a:avLst/>
          <a:gdLst>
            <a:gd name="G0" fmla="+- 5809 0 0"/>
            <a:gd name="G1" fmla="+- 21600 0 5809"/>
            <a:gd name="G2" fmla="*/ 5809 1 2"/>
            <a:gd name="G3" fmla="+- 21600 0 G2"/>
            <a:gd name="G4" fmla="+/ 5809 21600 2"/>
            <a:gd name="G5" fmla="+/ G1 0 2"/>
            <a:gd name="G6" fmla="*/ 21600 21600 5809"/>
            <a:gd name="G7" fmla="*/ G6 1 2"/>
            <a:gd name="G8" fmla="+- 21600 0 G7"/>
            <a:gd name="G9" fmla="*/ 21600 1 2"/>
            <a:gd name="G10" fmla="+- 5809 0 G9"/>
            <a:gd name="G11" fmla="?: G10 G8 0"/>
            <a:gd name="G12" fmla="?: G10 G7 21600"/>
            <a:gd name="T0" fmla="*/ 18695 w 21600"/>
            <a:gd name="T1" fmla="*/ 10800 h 21600"/>
            <a:gd name="T2" fmla="*/ 10800 w 21600"/>
            <a:gd name="T3" fmla="*/ 21600 h 21600"/>
            <a:gd name="T4" fmla="*/ 2905 w 21600"/>
            <a:gd name="T5" fmla="*/ 10800 h 21600"/>
            <a:gd name="T6" fmla="*/ 10800 w 21600"/>
            <a:gd name="T7" fmla="*/ 0 h 21600"/>
            <a:gd name="T8" fmla="*/ 4705 w 21600"/>
            <a:gd name="T9" fmla="*/ 4705 h 21600"/>
            <a:gd name="T10" fmla="*/ 16895 w 21600"/>
            <a:gd name="T11" fmla="*/ 16895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1600" h="21600">
              <a:moveTo>
                <a:pt x="0" y="0"/>
              </a:moveTo>
              <a:lnTo>
                <a:pt x="5809" y="21600"/>
              </a:lnTo>
              <a:lnTo>
                <a:pt x="15791" y="21600"/>
              </a:lnTo>
              <a:lnTo>
                <a:pt x="21600" y="0"/>
              </a:lnTo>
              <a:close/>
            </a:path>
          </a:pathLst>
        </a:custGeom>
        <a:solidFill>
          <a:srgbClr val="FFCC99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209550</xdr:colOff>
      <xdr:row>25</xdr:row>
      <xdr:rowOff>28575</xdr:rowOff>
    </xdr:from>
    <xdr:to>
      <xdr:col>9</xdr:col>
      <xdr:colOff>209550</xdr:colOff>
      <xdr:row>27</xdr:row>
      <xdr:rowOff>123825</xdr:rowOff>
    </xdr:to>
    <xdr:sp macro="" textlink="">
      <xdr:nvSpPr>
        <xdr:cNvPr id="3082" name="Line 10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>
          <a:spLocks noChangeShapeType="1"/>
        </xdr:cNvSpPr>
      </xdr:nvSpPr>
      <xdr:spPr bwMode="auto">
        <a:xfrm flipV="1">
          <a:off x="8401050" y="4057650"/>
          <a:ext cx="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523875</xdr:colOff>
      <xdr:row>25</xdr:row>
      <xdr:rowOff>47625</xdr:rowOff>
    </xdr:from>
    <xdr:to>
      <xdr:col>9</xdr:col>
      <xdr:colOff>523875</xdr:colOff>
      <xdr:row>27</xdr:row>
      <xdr:rowOff>142875</xdr:rowOff>
    </xdr:to>
    <xdr:sp macro="" textlink="">
      <xdr:nvSpPr>
        <xdr:cNvPr id="3083" name="Line 11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>
          <a:spLocks noChangeShapeType="1"/>
        </xdr:cNvSpPr>
      </xdr:nvSpPr>
      <xdr:spPr bwMode="auto">
        <a:xfrm flipV="1">
          <a:off x="8715375" y="4076700"/>
          <a:ext cx="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228600</xdr:colOff>
      <xdr:row>26</xdr:row>
      <xdr:rowOff>0</xdr:rowOff>
    </xdr:from>
    <xdr:to>
      <xdr:col>9</xdr:col>
      <xdr:colOff>523875</xdr:colOff>
      <xdr:row>26</xdr:row>
      <xdr:rowOff>9525</xdr:rowOff>
    </xdr:to>
    <xdr:sp macro="" textlink="">
      <xdr:nvSpPr>
        <xdr:cNvPr id="3084" name="Line 12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>
          <a:spLocks noChangeShapeType="1"/>
        </xdr:cNvSpPr>
      </xdr:nvSpPr>
      <xdr:spPr bwMode="auto">
        <a:xfrm flipV="1">
          <a:off x="8420100" y="4191000"/>
          <a:ext cx="2952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lg" len="lg"/>
          <a:tailEnd type="stealth" w="lg" len="lg"/>
        </a:ln>
      </xdr:spPr>
    </xdr:sp>
    <xdr:clientData/>
  </xdr:twoCellAnchor>
  <xdr:twoCellAnchor>
    <xdr:from>
      <xdr:col>8</xdr:col>
      <xdr:colOff>285750</xdr:colOff>
      <xdr:row>32</xdr:row>
      <xdr:rowOff>28575</xdr:rowOff>
    </xdr:from>
    <xdr:to>
      <xdr:col>8</xdr:col>
      <xdr:colOff>285750</xdr:colOff>
      <xdr:row>34</xdr:row>
      <xdr:rowOff>9525</xdr:rowOff>
    </xdr:to>
    <xdr:sp macro="" textlink="">
      <xdr:nvSpPr>
        <xdr:cNvPr id="3088" name="Line 16">
          <a:extLs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>
          <a:spLocks noChangeShapeType="1"/>
        </xdr:cNvSpPr>
      </xdr:nvSpPr>
      <xdr:spPr bwMode="auto">
        <a:xfrm flipV="1">
          <a:off x="7791450" y="519112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676275</xdr:colOff>
      <xdr:row>32</xdr:row>
      <xdr:rowOff>47625</xdr:rowOff>
    </xdr:from>
    <xdr:to>
      <xdr:col>8</xdr:col>
      <xdr:colOff>676275</xdr:colOff>
      <xdr:row>33</xdr:row>
      <xdr:rowOff>152400</xdr:rowOff>
    </xdr:to>
    <xdr:sp macro="" textlink="">
      <xdr:nvSpPr>
        <xdr:cNvPr id="3089" name="Line 17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>
          <a:spLocks noChangeShapeType="1"/>
        </xdr:cNvSpPr>
      </xdr:nvSpPr>
      <xdr:spPr bwMode="auto">
        <a:xfrm flipV="1">
          <a:off x="8181975" y="521017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304800</xdr:colOff>
      <xdr:row>33</xdr:row>
      <xdr:rowOff>0</xdr:rowOff>
    </xdr:from>
    <xdr:to>
      <xdr:col>8</xdr:col>
      <xdr:colOff>666750</xdr:colOff>
      <xdr:row>33</xdr:row>
      <xdr:rowOff>9525</xdr:rowOff>
    </xdr:to>
    <xdr:sp macro="" textlink="">
      <xdr:nvSpPr>
        <xdr:cNvPr id="3090" name="Line 18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>
          <a:spLocks noChangeShapeType="1"/>
        </xdr:cNvSpPr>
      </xdr:nvSpPr>
      <xdr:spPr bwMode="auto">
        <a:xfrm flipV="1">
          <a:off x="7810500" y="5324475"/>
          <a:ext cx="3619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lg" len="lg"/>
          <a:tailEnd type="stealth" w="lg" len="lg"/>
        </a:ln>
      </xdr:spPr>
    </xdr:sp>
    <xdr:clientData/>
  </xdr:twoCellAnchor>
  <xdr:twoCellAnchor>
    <xdr:from>
      <xdr:col>7</xdr:col>
      <xdr:colOff>447675</xdr:colOff>
      <xdr:row>24</xdr:row>
      <xdr:rowOff>152400</xdr:rowOff>
    </xdr:from>
    <xdr:to>
      <xdr:col>8</xdr:col>
      <xdr:colOff>485775</xdr:colOff>
      <xdr:row>33</xdr:row>
      <xdr:rowOff>0</xdr:rowOff>
    </xdr:to>
    <xdr:sp macro="" textlink="">
      <xdr:nvSpPr>
        <xdr:cNvPr id="3094" name="Line 22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>
          <a:spLocks noChangeShapeType="1"/>
        </xdr:cNvSpPr>
      </xdr:nvSpPr>
      <xdr:spPr bwMode="auto">
        <a:xfrm>
          <a:off x="7267575" y="4019550"/>
          <a:ext cx="7239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oval" w="med" len="med"/>
        </a:ln>
      </xdr:spPr>
    </xdr:sp>
    <xdr:clientData/>
  </xdr:twoCellAnchor>
  <xdr:twoCellAnchor>
    <xdr:from>
      <xdr:col>10</xdr:col>
      <xdr:colOff>209550</xdr:colOff>
      <xdr:row>24</xdr:row>
      <xdr:rowOff>152400</xdr:rowOff>
    </xdr:from>
    <xdr:to>
      <xdr:col>11</xdr:col>
      <xdr:colOff>333375</xdr:colOff>
      <xdr:row>32</xdr:row>
      <xdr:rowOff>142875</xdr:rowOff>
    </xdr:to>
    <xdr:sp macro="" textlink="">
      <xdr:nvSpPr>
        <xdr:cNvPr id="3095" name="Line 23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>
          <a:spLocks noChangeShapeType="1"/>
        </xdr:cNvSpPr>
      </xdr:nvSpPr>
      <xdr:spPr bwMode="auto">
        <a:xfrm flipH="1">
          <a:off x="9086850" y="4019550"/>
          <a:ext cx="809625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oval" w="med" len="med"/>
        </a:ln>
      </xdr:spPr>
    </xdr:sp>
    <xdr:clientData/>
  </xdr:twoCellAnchor>
  <xdr:twoCellAnchor>
    <xdr:from>
      <xdr:col>10</xdr:col>
      <xdr:colOff>28575</xdr:colOff>
      <xdr:row>32</xdr:row>
      <xdr:rowOff>9525</xdr:rowOff>
    </xdr:from>
    <xdr:to>
      <xdr:col>10</xdr:col>
      <xdr:colOff>28575</xdr:colOff>
      <xdr:row>33</xdr:row>
      <xdr:rowOff>152400</xdr:rowOff>
    </xdr:to>
    <xdr:sp macro="" textlink="">
      <xdr:nvSpPr>
        <xdr:cNvPr id="3096" name="Line 24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>
          <a:spLocks noChangeShapeType="1"/>
        </xdr:cNvSpPr>
      </xdr:nvSpPr>
      <xdr:spPr bwMode="auto">
        <a:xfrm flipV="1">
          <a:off x="8905875" y="51720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419100</xdr:colOff>
      <xdr:row>32</xdr:row>
      <xdr:rowOff>28575</xdr:rowOff>
    </xdr:from>
    <xdr:to>
      <xdr:col>10</xdr:col>
      <xdr:colOff>419100</xdr:colOff>
      <xdr:row>33</xdr:row>
      <xdr:rowOff>133350</xdr:rowOff>
    </xdr:to>
    <xdr:sp macro="" textlink="">
      <xdr:nvSpPr>
        <xdr:cNvPr id="3097" name="Line 25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>
          <a:spLocks noChangeShapeType="1"/>
        </xdr:cNvSpPr>
      </xdr:nvSpPr>
      <xdr:spPr bwMode="auto">
        <a:xfrm flipV="1">
          <a:off x="9296400" y="5191125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47625</xdr:colOff>
      <xdr:row>32</xdr:row>
      <xdr:rowOff>142875</xdr:rowOff>
    </xdr:from>
    <xdr:to>
      <xdr:col>10</xdr:col>
      <xdr:colOff>409575</xdr:colOff>
      <xdr:row>32</xdr:row>
      <xdr:rowOff>152400</xdr:rowOff>
    </xdr:to>
    <xdr:sp macro="" textlink="">
      <xdr:nvSpPr>
        <xdr:cNvPr id="3098" name="Line 26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>
          <a:spLocks noChangeShapeType="1"/>
        </xdr:cNvSpPr>
      </xdr:nvSpPr>
      <xdr:spPr bwMode="auto">
        <a:xfrm flipV="1">
          <a:off x="8924925" y="5305425"/>
          <a:ext cx="3619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lg" len="lg"/>
          <a:tailEnd type="stealth" w="lg" len="lg"/>
        </a:ln>
      </xdr:spPr>
    </xdr:sp>
    <xdr:clientData/>
  </xdr:twoCellAnchor>
  <xdr:twoCellAnchor>
    <xdr:from>
      <xdr:col>9</xdr:col>
      <xdr:colOff>0</xdr:colOff>
      <xdr:row>28</xdr:row>
      <xdr:rowOff>114300</xdr:rowOff>
    </xdr:from>
    <xdr:to>
      <xdr:col>9</xdr:col>
      <xdr:colOff>152400</xdr:colOff>
      <xdr:row>31</xdr:row>
      <xdr:rowOff>104775</xdr:rowOff>
    </xdr:to>
    <xdr:sp macro="" textlink="">
      <xdr:nvSpPr>
        <xdr:cNvPr id="3099" name="Freeform 27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>
          <a:spLocks/>
        </xdr:cNvSpPr>
      </xdr:nvSpPr>
      <xdr:spPr bwMode="auto">
        <a:xfrm>
          <a:off x="8191500" y="4629150"/>
          <a:ext cx="152400" cy="476250"/>
        </a:xfrm>
        <a:custGeom>
          <a:avLst/>
          <a:gdLst/>
          <a:ahLst/>
          <a:cxnLst>
            <a:cxn ang="0">
              <a:pos x="16" y="0"/>
            </a:cxn>
            <a:cxn ang="0">
              <a:pos x="0" y="0"/>
            </a:cxn>
            <a:cxn ang="0">
              <a:pos x="0" y="50"/>
            </a:cxn>
          </a:cxnLst>
          <a:rect l="0" t="0" r="r" b="b"/>
          <a:pathLst>
            <a:path w="16" h="50">
              <a:moveTo>
                <a:pt x="16" y="0"/>
              </a:moveTo>
              <a:lnTo>
                <a:pt x="0" y="0"/>
              </a:lnTo>
              <a:lnTo>
                <a:pt x="0" y="5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33</xdr:row>
      <xdr:rowOff>9525</xdr:rowOff>
    </xdr:from>
    <xdr:to>
      <xdr:col>8</xdr:col>
      <xdr:colOff>152400</xdr:colOff>
      <xdr:row>36</xdr:row>
      <xdr:rowOff>0</xdr:rowOff>
    </xdr:to>
    <xdr:sp macro="" textlink="">
      <xdr:nvSpPr>
        <xdr:cNvPr id="3100" name="Freeform 28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>
          <a:spLocks/>
        </xdr:cNvSpPr>
      </xdr:nvSpPr>
      <xdr:spPr bwMode="auto">
        <a:xfrm>
          <a:off x="7505700" y="5334000"/>
          <a:ext cx="152400" cy="476250"/>
        </a:xfrm>
        <a:custGeom>
          <a:avLst/>
          <a:gdLst/>
          <a:ahLst/>
          <a:cxnLst>
            <a:cxn ang="0">
              <a:pos x="16" y="0"/>
            </a:cxn>
            <a:cxn ang="0">
              <a:pos x="0" y="0"/>
            </a:cxn>
            <a:cxn ang="0">
              <a:pos x="0" y="50"/>
            </a:cxn>
          </a:cxnLst>
          <a:rect l="0" t="0" r="r" b="b"/>
          <a:pathLst>
            <a:path w="16" h="50">
              <a:moveTo>
                <a:pt x="16" y="0"/>
              </a:moveTo>
              <a:lnTo>
                <a:pt x="0" y="0"/>
              </a:lnTo>
              <a:lnTo>
                <a:pt x="0" y="5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533400</xdr:colOff>
      <xdr:row>33</xdr:row>
      <xdr:rowOff>0</xdr:rowOff>
    </xdr:from>
    <xdr:to>
      <xdr:col>11</xdr:col>
      <xdr:colOff>0</xdr:colOff>
      <xdr:row>35</xdr:row>
      <xdr:rowOff>152400</xdr:rowOff>
    </xdr:to>
    <xdr:sp macro="" textlink="">
      <xdr:nvSpPr>
        <xdr:cNvPr id="3101" name="Freeform 29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>
          <a:spLocks/>
        </xdr:cNvSpPr>
      </xdr:nvSpPr>
      <xdr:spPr bwMode="auto">
        <a:xfrm flipH="1">
          <a:off x="9410700" y="5324475"/>
          <a:ext cx="152400" cy="476250"/>
        </a:xfrm>
        <a:custGeom>
          <a:avLst/>
          <a:gdLst/>
          <a:ahLst/>
          <a:cxnLst>
            <a:cxn ang="0">
              <a:pos x="16" y="0"/>
            </a:cxn>
            <a:cxn ang="0">
              <a:pos x="0" y="0"/>
            </a:cxn>
            <a:cxn ang="0">
              <a:pos x="0" y="50"/>
            </a:cxn>
          </a:cxnLst>
          <a:rect l="0" t="0" r="r" b="b"/>
          <a:pathLst>
            <a:path w="16" h="50">
              <a:moveTo>
                <a:pt x="16" y="0"/>
              </a:moveTo>
              <a:lnTo>
                <a:pt x="0" y="0"/>
              </a:lnTo>
              <a:lnTo>
                <a:pt x="0" y="5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571500</xdr:colOff>
      <xdr:row>28</xdr:row>
      <xdr:rowOff>104775</xdr:rowOff>
    </xdr:from>
    <xdr:to>
      <xdr:col>10</xdr:col>
      <xdr:colOff>38100</xdr:colOff>
      <xdr:row>31</xdr:row>
      <xdr:rowOff>95250</xdr:rowOff>
    </xdr:to>
    <xdr:sp macro="" textlink="">
      <xdr:nvSpPr>
        <xdr:cNvPr id="3103" name="Freeform 31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>
          <a:spLocks/>
        </xdr:cNvSpPr>
      </xdr:nvSpPr>
      <xdr:spPr bwMode="auto">
        <a:xfrm flipH="1">
          <a:off x="8763000" y="4619625"/>
          <a:ext cx="152400" cy="476250"/>
        </a:xfrm>
        <a:custGeom>
          <a:avLst/>
          <a:gdLst/>
          <a:ahLst/>
          <a:cxnLst>
            <a:cxn ang="0">
              <a:pos x="16" y="0"/>
            </a:cxn>
            <a:cxn ang="0">
              <a:pos x="0" y="0"/>
            </a:cxn>
            <a:cxn ang="0">
              <a:pos x="0" y="50"/>
            </a:cxn>
          </a:cxnLst>
          <a:rect l="0" t="0" r="r" b="b"/>
          <a:pathLst>
            <a:path w="16" h="50">
              <a:moveTo>
                <a:pt x="16" y="0"/>
              </a:moveTo>
              <a:lnTo>
                <a:pt x="0" y="0"/>
              </a:lnTo>
              <a:lnTo>
                <a:pt x="0" y="5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571500</xdr:colOff>
      <xdr:row>27</xdr:row>
      <xdr:rowOff>142875</xdr:rowOff>
    </xdr:from>
    <xdr:to>
      <xdr:col>11</xdr:col>
      <xdr:colOff>104775</xdr:colOff>
      <xdr:row>38</xdr:row>
      <xdr:rowOff>0</xdr:rowOff>
    </xdr:to>
    <xdr:sp macro="" textlink="">
      <xdr:nvSpPr>
        <xdr:cNvPr id="3104" name="Freeform 32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>
          <a:spLocks/>
        </xdr:cNvSpPr>
      </xdr:nvSpPr>
      <xdr:spPr bwMode="auto">
        <a:xfrm>
          <a:off x="7391400" y="4495800"/>
          <a:ext cx="2276475" cy="1638300"/>
        </a:xfrm>
        <a:custGeom>
          <a:avLst/>
          <a:gdLst/>
          <a:ahLst/>
          <a:cxnLst>
            <a:cxn ang="0">
              <a:pos x="0" y="172"/>
            </a:cxn>
            <a:cxn ang="0">
              <a:pos x="41" y="69"/>
            </a:cxn>
            <a:cxn ang="0">
              <a:pos x="85" y="70"/>
            </a:cxn>
            <a:cxn ang="0">
              <a:pos x="105" y="0"/>
            </a:cxn>
            <a:cxn ang="0">
              <a:pos x="138" y="0"/>
            </a:cxn>
            <a:cxn ang="0">
              <a:pos x="162" y="68"/>
            </a:cxn>
            <a:cxn ang="0">
              <a:pos x="199" y="69"/>
            </a:cxn>
            <a:cxn ang="0">
              <a:pos x="239" y="171"/>
            </a:cxn>
            <a:cxn ang="0">
              <a:pos x="0" y="172"/>
            </a:cxn>
          </a:cxnLst>
          <a:rect l="0" t="0" r="r" b="b"/>
          <a:pathLst>
            <a:path w="239" h="172">
              <a:moveTo>
                <a:pt x="0" y="172"/>
              </a:moveTo>
              <a:lnTo>
                <a:pt x="41" y="69"/>
              </a:lnTo>
              <a:lnTo>
                <a:pt x="85" y="70"/>
              </a:lnTo>
              <a:lnTo>
                <a:pt x="105" y="0"/>
              </a:lnTo>
              <a:lnTo>
                <a:pt x="138" y="0"/>
              </a:lnTo>
              <a:lnTo>
                <a:pt x="162" y="68"/>
              </a:lnTo>
              <a:lnTo>
                <a:pt x="199" y="69"/>
              </a:lnTo>
              <a:lnTo>
                <a:pt x="239" y="171"/>
              </a:lnTo>
              <a:lnTo>
                <a:pt x="0" y="172"/>
              </a:lnTo>
              <a:close/>
            </a:path>
          </a:pathLst>
        </a:custGeom>
        <a:noFill/>
        <a:ln w="50800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42</xdr:row>
      <xdr:rowOff>57149</xdr:rowOff>
    </xdr:from>
    <xdr:to>
      <xdr:col>5</xdr:col>
      <xdr:colOff>209550</xdr:colOff>
      <xdr:row>66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152399</xdr:colOff>
      <xdr:row>0</xdr:row>
      <xdr:rowOff>171450</xdr:rowOff>
    </xdr:from>
    <xdr:to>
      <xdr:col>17</xdr:col>
      <xdr:colOff>66674</xdr:colOff>
      <xdr:row>16</xdr:row>
      <xdr:rowOff>85725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350227</xdr:colOff>
      <xdr:row>6</xdr:row>
      <xdr:rowOff>37589</xdr:rowOff>
    </xdr:from>
    <xdr:to>
      <xdr:col>6</xdr:col>
      <xdr:colOff>355197</xdr:colOff>
      <xdr:row>13</xdr:row>
      <xdr:rowOff>12453</xdr:rowOff>
    </xdr:to>
    <xdr:sp macro="" textlink="">
      <xdr:nvSpPr>
        <xdr:cNvPr id="4099" name="Line 3">
          <a:extLst>
            <a:ext uri="{FF2B5EF4-FFF2-40B4-BE49-F238E27FC236}">
              <a16:creationId xmlns:a16="http://schemas.microsoft.com/office/drawing/2014/main" id="{00000000-0008-0000-0300-000003100000}"/>
            </a:ext>
          </a:extLst>
        </xdr:cNvPr>
        <xdr:cNvSpPr>
          <a:spLocks noChangeShapeType="1"/>
        </xdr:cNvSpPr>
      </xdr:nvSpPr>
      <xdr:spPr bwMode="auto">
        <a:xfrm flipH="1">
          <a:off x="4482612" y="1415051"/>
          <a:ext cx="4970" cy="140361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lg" len="lg"/>
        </a:ln>
      </xdr:spPr>
    </xdr:sp>
    <xdr:clientData/>
  </xdr:twoCellAnchor>
  <xdr:twoCellAnchor>
    <xdr:from>
      <xdr:col>5</xdr:col>
      <xdr:colOff>27953</xdr:colOff>
      <xdr:row>1</xdr:row>
      <xdr:rowOff>23608</xdr:rowOff>
    </xdr:from>
    <xdr:to>
      <xdr:col>7</xdr:col>
      <xdr:colOff>675653</xdr:colOff>
      <xdr:row>11</xdr:row>
      <xdr:rowOff>0</xdr:rowOff>
    </xdr:to>
    <xdr:sp macro="" textlink="">
      <xdr:nvSpPr>
        <xdr:cNvPr id="4097" name="AutoShape 1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>
          <a:spLocks noChangeArrowheads="1"/>
        </xdr:cNvSpPr>
      </xdr:nvSpPr>
      <xdr:spPr bwMode="auto">
        <a:xfrm>
          <a:off x="3465236" y="346630"/>
          <a:ext cx="2022613" cy="1947653"/>
        </a:xfrm>
        <a:prstGeom prst="diamond">
          <a:avLst/>
        </a:prstGeom>
        <a:solidFill>
          <a:schemeClr val="bg1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50292" rIns="45720" bIns="50292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Calibri" panose="020F0502020204030204" pitchFamily="34" charset="0"/>
            </a:rPr>
            <a:t>Dam Height,</a:t>
          </a:r>
          <a:br>
            <a:rPr lang="en-US" sz="1800" b="1" i="0" u="none" strike="noStrike" baseline="0">
              <a:solidFill>
                <a:srgbClr val="000000"/>
              </a:solidFill>
              <a:latin typeface="Calibri" panose="020F0502020204030204" pitchFamily="34" charset="0"/>
            </a:rPr>
          </a:br>
          <a:r>
            <a:rPr lang="en-US" sz="1800" b="1" i="0" u="none" strike="noStrike" baseline="0">
              <a:solidFill>
                <a:srgbClr val="000000"/>
              </a:solidFill>
              <a:latin typeface="Calibri" panose="020F0502020204030204" pitchFamily="34" charset="0"/>
            </a:rPr>
            <a:t>H</a:t>
          </a:r>
          <a:r>
            <a:rPr lang="en-US" sz="1800" b="1" i="0" u="none" strike="noStrike" baseline="-25000">
              <a:solidFill>
                <a:srgbClr val="000000"/>
              </a:solidFill>
              <a:latin typeface="Calibri" panose="020F0502020204030204" pitchFamily="34" charset="0"/>
            </a:rPr>
            <a:t>w</a:t>
          </a:r>
        </a:p>
      </xdr:txBody>
    </xdr:sp>
    <xdr:clientData/>
  </xdr:twoCellAnchor>
  <xdr:twoCellAnchor>
    <xdr:from>
      <xdr:col>2</xdr:col>
      <xdr:colOff>389282</xdr:colOff>
      <xdr:row>5</xdr:row>
      <xdr:rowOff>240195</xdr:rowOff>
    </xdr:from>
    <xdr:to>
      <xdr:col>5</xdr:col>
      <xdr:colOff>24845</xdr:colOff>
      <xdr:row>5</xdr:row>
      <xdr:rowOff>240196</xdr:rowOff>
    </xdr:to>
    <xdr:sp macro="" textlink="">
      <xdr:nvSpPr>
        <xdr:cNvPr id="4098" name="Line 2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>
          <a:spLocks noChangeShapeType="1"/>
        </xdr:cNvSpPr>
      </xdr:nvSpPr>
      <xdr:spPr bwMode="auto">
        <a:xfrm flipH="1" flipV="1">
          <a:off x="1764195" y="1325217"/>
          <a:ext cx="1697933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lg" len="lg"/>
        </a:ln>
      </xdr:spPr>
    </xdr:sp>
    <xdr:clientData/>
  </xdr:twoCellAnchor>
  <xdr:twoCellAnchor>
    <xdr:from>
      <xdr:col>0</xdr:col>
      <xdr:colOff>444011</xdr:colOff>
      <xdr:row>14</xdr:row>
      <xdr:rowOff>23080</xdr:rowOff>
    </xdr:from>
    <xdr:to>
      <xdr:col>4</xdr:col>
      <xdr:colOff>520211</xdr:colOff>
      <xdr:row>22</xdr:row>
      <xdr:rowOff>8425</xdr:rowOff>
    </xdr:to>
    <xdr:sp macro="" textlink="">
      <xdr:nvSpPr>
        <xdr:cNvPr id="4106" name="Rectangle 10">
          <a:extLst>
            <a:ext uri="{FF2B5EF4-FFF2-40B4-BE49-F238E27FC236}">
              <a16:creationId xmlns:a16="http://schemas.microsoft.com/office/drawing/2014/main" id="{00000000-0008-0000-0300-00000A100000}"/>
            </a:ext>
          </a:extLst>
        </xdr:cNvPr>
        <xdr:cNvSpPr>
          <a:spLocks noChangeArrowheads="1"/>
        </xdr:cNvSpPr>
      </xdr:nvSpPr>
      <xdr:spPr bwMode="auto">
        <a:xfrm>
          <a:off x="444011" y="3027118"/>
          <a:ext cx="2831123" cy="1567961"/>
        </a:xfrm>
        <a:prstGeom prst="rect">
          <a:avLst/>
        </a:prstGeom>
        <a:solidFill>
          <a:schemeClr val="bg1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en-US" b="1"/>
            <a:t>Case</a:t>
          </a:r>
          <a:r>
            <a:rPr lang="en-US" b="1" baseline="0"/>
            <a:t> 2 Wide, Low Dam</a:t>
          </a:r>
        </a:p>
        <a:p>
          <a:pPr algn="ctr"/>
          <a:r>
            <a:rPr lang="en-US" baseline="0"/>
            <a:t> Hw &lt; 103'</a:t>
          </a:r>
        </a:p>
        <a:p>
          <a:pPr algn="ctr"/>
          <a:r>
            <a:rPr lang="en-US" baseline="0"/>
            <a:t> L &gt; T</a:t>
          </a:r>
          <a:br>
            <a:rPr lang="en-US" baseline="0"/>
          </a:br>
          <a:endParaRPr lang="en-US" baseline="0"/>
        </a:p>
        <a:p>
          <a:r>
            <a:rPr lang="en-US" baseline="0"/>
            <a:t> Upper Bound = 65*H</a:t>
          </a:r>
          <a:r>
            <a:rPr lang="en-US" baseline="-25000"/>
            <a:t>w</a:t>
          </a:r>
          <a:r>
            <a:rPr lang="en-US" baseline="30000"/>
            <a:t>1.85</a:t>
          </a:r>
          <a:endParaRPr lang="en-US" baseline="0"/>
        </a:p>
        <a:p>
          <a:r>
            <a:rPr lang="en-US" baseline="0"/>
            <a:t> Value = 1,100*Br</a:t>
          </a:r>
          <a:r>
            <a:rPr lang="en-US" baseline="30000"/>
            <a:t>1.35</a:t>
          </a:r>
          <a:endParaRPr lang="en-US" baseline="0"/>
        </a:p>
        <a:p>
          <a:r>
            <a:rPr lang="en-US" baseline="0"/>
            <a:t> Lower Bound = 3.2*H</a:t>
          </a:r>
          <a:r>
            <a:rPr lang="en-US" baseline="-25000"/>
            <a:t>w</a:t>
          </a:r>
          <a:r>
            <a:rPr lang="en-US" baseline="30000"/>
            <a:t>2.5</a:t>
          </a:r>
          <a:endParaRPr lang="en-US"/>
        </a:p>
      </xdr:txBody>
    </xdr:sp>
    <xdr:clientData/>
  </xdr:twoCellAnchor>
  <xdr:twoCellAnchor>
    <xdr:from>
      <xdr:col>0</xdr:col>
      <xdr:colOff>74543</xdr:colOff>
      <xdr:row>4</xdr:row>
      <xdr:rowOff>0</xdr:rowOff>
    </xdr:from>
    <xdr:to>
      <xdr:col>2</xdr:col>
      <xdr:colOff>381000</xdr:colOff>
      <xdr:row>8</xdr:row>
      <xdr:rowOff>182217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74543" y="894522"/>
          <a:ext cx="1681370" cy="1010478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200" b="1"/>
            <a:t>Case 1: Tall Dam</a:t>
          </a:r>
        </a:p>
        <a:p>
          <a:pPr algn="l"/>
          <a:r>
            <a:rPr lang="en-US" sz="1200"/>
            <a:t>  H</a:t>
          </a:r>
          <a:r>
            <a:rPr lang="en-US" sz="1200" baseline="-25000"/>
            <a:t>w</a:t>
          </a:r>
          <a:r>
            <a:rPr lang="en-US" sz="1200"/>
            <a:t> &gt;= 103'</a:t>
          </a:r>
        </a:p>
        <a:p>
          <a:pPr algn="l"/>
          <a:r>
            <a:rPr lang="en-US" sz="1200"/>
            <a:t>  Q</a:t>
          </a:r>
          <a:r>
            <a:rPr lang="en-US" sz="1200" baseline="-25000"/>
            <a:t>max</a:t>
          </a:r>
          <a:r>
            <a:rPr lang="en-US" sz="1200"/>
            <a:t> = 65</a:t>
          </a:r>
          <a:r>
            <a:rPr lang="en-US" sz="1200" baseline="0"/>
            <a:t> x H</a:t>
          </a:r>
          <a:r>
            <a:rPr lang="en-US" sz="1200" baseline="-25000"/>
            <a:t>w</a:t>
          </a:r>
          <a:r>
            <a:rPr lang="en-US" sz="1200" baseline="30000"/>
            <a:t>1.85</a:t>
          </a:r>
          <a:endParaRPr lang="en-US" sz="1200"/>
        </a:p>
      </xdr:txBody>
    </xdr:sp>
    <xdr:clientData/>
  </xdr:twoCellAnchor>
  <xdr:twoCellAnchor>
    <xdr:from>
      <xdr:col>0</xdr:col>
      <xdr:colOff>309929</xdr:colOff>
      <xdr:row>25</xdr:row>
      <xdr:rowOff>29309</xdr:rowOff>
    </xdr:from>
    <xdr:to>
      <xdr:col>5</xdr:col>
      <xdr:colOff>68140</xdr:colOff>
      <xdr:row>32</xdr:row>
      <xdr:rowOff>76200</xdr:rowOff>
    </xdr:to>
    <xdr:sp macro="" textlink="">
      <xdr:nvSpPr>
        <xdr:cNvPr id="12" name="Rectangle 10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309929" y="5249009"/>
          <a:ext cx="3187211" cy="1485166"/>
        </a:xfrm>
        <a:prstGeom prst="flowChartAlternateProcess">
          <a:avLst/>
        </a:prstGeom>
        <a:solidFill>
          <a:schemeClr val="bg1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en-US" b="1" baseline="0"/>
            <a:t>Value vs Bounds</a:t>
          </a:r>
          <a:br>
            <a:rPr lang="en-US" b="1" baseline="0"/>
          </a:br>
          <a:endParaRPr lang="en-US" b="1" baseline="0"/>
        </a:p>
        <a:p>
          <a:r>
            <a:rPr lang="en-US" baseline="0"/>
            <a:t>If Value &gt; Upper Bound, use Upper Bound</a:t>
          </a:r>
        </a:p>
        <a:p>
          <a:r>
            <a:rPr lang="en-US" baseline="0"/>
            <a:t>If Upper Bound &gt; Value &gt; Lower Bound, use Value</a:t>
          </a:r>
        </a:p>
        <a:p>
          <a:r>
            <a:rPr lang="en-US" baseline="0"/>
            <a:t>If Value &lt; Lower Bound, use Lower Bound</a:t>
          </a:r>
          <a:endParaRPr lang="en-US"/>
        </a:p>
      </xdr:txBody>
    </xdr:sp>
    <xdr:clientData/>
  </xdr:twoCellAnchor>
  <xdr:twoCellAnchor>
    <xdr:from>
      <xdr:col>8</xdr:col>
      <xdr:colOff>231899</xdr:colOff>
      <xdr:row>36</xdr:row>
      <xdr:rowOff>59350</xdr:rowOff>
    </xdr:from>
    <xdr:to>
      <xdr:col>12</xdr:col>
      <xdr:colOff>230432</xdr:colOff>
      <xdr:row>43</xdr:row>
      <xdr:rowOff>31506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rrowheads="1"/>
        </xdr:cNvSpPr>
      </xdr:nvSpPr>
      <xdr:spPr bwMode="auto">
        <a:xfrm>
          <a:off x="5718299" y="7555525"/>
          <a:ext cx="2741733" cy="1372331"/>
        </a:xfrm>
        <a:prstGeom prst="rect">
          <a:avLst/>
        </a:prstGeom>
        <a:solidFill>
          <a:schemeClr val="bg1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en-US" b="1"/>
            <a:t>Case</a:t>
          </a:r>
          <a:r>
            <a:rPr lang="en-US" b="1" baseline="0"/>
            <a:t> 4 Narrow, Low Dam</a:t>
          </a:r>
        </a:p>
        <a:p>
          <a:pPr algn="ctr"/>
          <a:r>
            <a:rPr lang="en-US" baseline="0"/>
            <a:t> Hw &lt; 103', L &lt; T, L &lt; 7.7 Hw</a:t>
          </a:r>
          <a:br>
            <a:rPr lang="en-US" baseline="0"/>
          </a:br>
          <a:r>
            <a:rPr lang="en-US" baseline="0"/>
            <a:t>Upper Bound &lt; Lower Bound</a:t>
          </a:r>
          <a:br>
            <a:rPr lang="en-US" baseline="0"/>
          </a:br>
          <a:endParaRPr lang="en-US" baseline="0"/>
        </a:p>
        <a:p>
          <a:pPr algn="ctr"/>
          <a:r>
            <a:rPr lang="en-US" baseline="0"/>
            <a:t> use Lower Bound</a:t>
          </a:r>
          <a:endParaRPr lang="en-US"/>
        </a:p>
      </xdr:txBody>
    </xdr:sp>
    <xdr:clientData/>
  </xdr:twoCellAnchor>
  <xdr:twoCellAnchor>
    <xdr:from>
      <xdr:col>2</xdr:col>
      <xdr:colOff>475553</xdr:colOff>
      <xdr:row>22</xdr:row>
      <xdr:rowOff>14170</xdr:rowOff>
    </xdr:from>
    <xdr:to>
      <xdr:col>2</xdr:col>
      <xdr:colOff>476374</xdr:colOff>
      <xdr:row>25</xdr:row>
      <xdr:rowOff>34987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ShapeType="1"/>
        </xdr:cNvSpPr>
      </xdr:nvSpPr>
      <xdr:spPr bwMode="auto">
        <a:xfrm>
          <a:off x="1847153" y="4633795"/>
          <a:ext cx="821" cy="6208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lg" len="lg"/>
        </a:ln>
      </xdr:spPr>
    </xdr:sp>
    <xdr:clientData/>
  </xdr:twoCellAnchor>
  <xdr:twoCellAnchor>
    <xdr:from>
      <xdr:col>4</xdr:col>
      <xdr:colOff>525037</xdr:colOff>
      <xdr:row>18</xdr:row>
      <xdr:rowOff>9519</xdr:rowOff>
    </xdr:from>
    <xdr:to>
      <xdr:col>8</xdr:col>
      <xdr:colOff>208086</xdr:colOff>
      <xdr:row>18</xdr:row>
      <xdr:rowOff>13939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ShapeType="1"/>
        </xdr:cNvSpPr>
      </xdr:nvSpPr>
      <xdr:spPr bwMode="auto">
        <a:xfrm flipV="1">
          <a:off x="3275671" y="3824165"/>
          <a:ext cx="2433683" cy="442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lg" len="lg"/>
          <a:tailEnd type="stealth" w="lg" len="lg"/>
        </a:ln>
      </xdr:spPr>
    </xdr:sp>
    <xdr:clientData/>
  </xdr:twoCellAnchor>
  <xdr:twoCellAnchor>
    <xdr:from>
      <xdr:col>5</xdr:col>
      <xdr:colOff>29675</xdr:colOff>
      <xdr:row>13</xdr:row>
      <xdr:rowOff>19782</xdr:rowOff>
    </xdr:from>
    <xdr:to>
      <xdr:col>7</xdr:col>
      <xdr:colOff>677375</xdr:colOff>
      <xdr:row>23</xdr:row>
      <xdr:rowOff>11722</xdr:rowOff>
    </xdr:to>
    <xdr:sp macro="" textlink="">
      <xdr:nvSpPr>
        <xdr:cNvPr id="4100" name="AutoShape 4">
          <a:extLst>
            <a:ext uri="{FF2B5EF4-FFF2-40B4-BE49-F238E27FC236}">
              <a16:creationId xmlns:a16="http://schemas.microsoft.com/office/drawing/2014/main" id="{00000000-0008-0000-0300-000004100000}"/>
            </a:ext>
          </a:extLst>
        </xdr:cNvPr>
        <xdr:cNvSpPr>
          <a:spLocks noChangeArrowheads="1"/>
        </xdr:cNvSpPr>
      </xdr:nvSpPr>
      <xdr:spPr bwMode="auto">
        <a:xfrm>
          <a:off x="3473329" y="2825994"/>
          <a:ext cx="2025161" cy="1970209"/>
        </a:xfrm>
        <a:prstGeom prst="diamond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marL="0" indent="0"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rPr>
            <a:t>Dam Width, L to Theo Breach Width, T</a:t>
          </a:r>
        </a:p>
      </xdr:txBody>
    </xdr:sp>
    <xdr:clientData/>
  </xdr:twoCellAnchor>
  <xdr:twoCellAnchor>
    <xdr:from>
      <xdr:col>10</xdr:col>
      <xdr:colOff>233857</xdr:colOff>
      <xdr:row>21</xdr:row>
      <xdr:rowOff>32029</xdr:rowOff>
    </xdr:from>
    <xdr:to>
      <xdr:col>10</xdr:col>
      <xdr:colOff>234678</xdr:colOff>
      <xdr:row>24</xdr:row>
      <xdr:rowOff>52846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 bwMode="auto">
        <a:xfrm>
          <a:off x="7079951" y="4496873"/>
          <a:ext cx="821" cy="62803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lg" len="lg"/>
        </a:ln>
      </xdr:spPr>
    </xdr:sp>
    <xdr:clientData/>
  </xdr:twoCellAnchor>
  <xdr:twoCellAnchor>
    <xdr:from>
      <xdr:col>10</xdr:col>
      <xdr:colOff>237428</xdr:colOff>
      <xdr:row>32</xdr:row>
      <xdr:rowOff>191573</xdr:rowOff>
    </xdr:from>
    <xdr:to>
      <xdr:col>10</xdr:col>
      <xdr:colOff>238249</xdr:colOff>
      <xdr:row>36</xdr:row>
      <xdr:rowOff>50465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ShapeType="1"/>
        </xdr:cNvSpPr>
      </xdr:nvSpPr>
      <xdr:spPr bwMode="auto">
        <a:xfrm>
          <a:off x="7095428" y="6887648"/>
          <a:ext cx="821" cy="6589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lg" len="lg"/>
        </a:ln>
      </xdr:spPr>
    </xdr:sp>
    <xdr:clientData/>
  </xdr:twoCellAnchor>
  <xdr:twoCellAnchor>
    <xdr:from>
      <xdr:col>5</xdr:col>
      <xdr:colOff>75008</xdr:colOff>
      <xdr:row>28</xdr:row>
      <xdr:rowOff>161060</xdr:rowOff>
    </xdr:from>
    <xdr:to>
      <xdr:col>8</xdr:col>
      <xdr:colOff>420831</xdr:colOff>
      <xdr:row>28</xdr:row>
      <xdr:rowOff>170260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ShapeType="1"/>
        </xdr:cNvSpPr>
      </xdr:nvSpPr>
      <xdr:spPr bwMode="auto">
        <a:xfrm flipH="1">
          <a:off x="3504008" y="5980835"/>
          <a:ext cx="2403223" cy="9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stealth" w="lg" len="lg"/>
        </a:ln>
      </xdr:spPr>
    </xdr:sp>
    <xdr:clientData/>
  </xdr:twoCellAnchor>
  <xdr:twoCellAnchor>
    <xdr:from>
      <xdr:col>8</xdr:col>
      <xdr:colOff>124925</xdr:colOff>
      <xdr:row>24</xdr:row>
      <xdr:rowOff>58065</xdr:rowOff>
    </xdr:from>
    <xdr:to>
      <xdr:col>12</xdr:col>
      <xdr:colOff>352425</xdr:colOff>
      <xdr:row>33</xdr:row>
      <xdr:rowOff>47625</xdr:rowOff>
    </xdr:to>
    <xdr:sp macro="" textlink="">
      <xdr:nvSpPr>
        <xdr:cNvPr id="13" name="AutoShape 4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rrowheads="1"/>
        </xdr:cNvSpPr>
      </xdr:nvSpPr>
      <xdr:spPr bwMode="auto">
        <a:xfrm>
          <a:off x="5611325" y="5077740"/>
          <a:ext cx="2970700" cy="1827885"/>
        </a:xfrm>
        <a:prstGeom prst="diamond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50" b="1" i="0" baseline="0">
              <a:effectLst/>
              <a:latin typeface="+mn-lt"/>
              <a:ea typeface="+mn-ea"/>
              <a:cs typeface="+mn-cs"/>
            </a:rPr>
            <a:t>L&gt;7.7H</a:t>
          </a:r>
          <a:r>
            <a:rPr lang="en-US" sz="1050" b="1" i="0" baseline="-25000">
              <a:effectLst/>
              <a:latin typeface="+mn-lt"/>
              <a:ea typeface="+mn-ea"/>
              <a:cs typeface="+mn-cs"/>
            </a:rPr>
            <a:t>w</a:t>
          </a:r>
          <a:endParaRPr lang="en-US" sz="1000">
            <a:effectLst/>
          </a:endParaRPr>
        </a:p>
        <a:p>
          <a:pPr marL="0" indent="0"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rPr>
            <a:t>Upper Bound &gt; Lower Bound</a:t>
          </a:r>
          <a:br>
            <a:rPr lang="en-US" sz="1000" b="1" i="0" u="none" strike="noStrike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rPr>
          </a:br>
          <a:endParaRPr lang="en-US" sz="1050" b="1" i="0" u="none" strike="noStrike" baseline="-25000">
            <a:solidFill>
              <a:srgbClr val="000000"/>
            </a:solidFill>
            <a:latin typeface="Calibri" panose="020F0502020204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193066</xdr:colOff>
      <xdr:row>14</xdr:row>
      <xdr:rowOff>29675</xdr:rowOff>
    </xdr:from>
    <xdr:to>
      <xdr:col>12</xdr:col>
      <xdr:colOff>269266</xdr:colOff>
      <xdr:row>22</xdr:row>
      <xdr:rowOff>1829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/>
        </xdr:cNvSpPr>
      </xdr:nvSpPr>
      <xdr:spPr bwMode="auto">
        <a:xfrm>
          <a:off x="5702912" y="3033713"/>
          <a:ext cx="2831123" cy="1554770"/>
        </a:xfrm>
        <a:prstGeom prst="rect">
          <a:avLst/>
        </a:prstGeom>
        <a:solidFill>
          <a:schemeClr val="bg1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r>
            <a:rPr lang="en-US" b="1"/>
            <a:t>Case</a:t>
          </a:r>
          <a:r>
            <a:rPr lang="en-US" b="1" baseline="0"/>
            <a:t> 3 Narrow, Low Dam</a:t>
          </a:r>
        </a:p>
        <a:p>
          <a:pPr algn="ctr"/>
          <a:r>
            <a:rPr lang="en-US" baseline="0"/>
            <a:t> Hw &lt; 103'</a:t>
          </a:r>
        </a:p>
        <a:p>
          <a:pPr algn="ctr"/>
          <a:r>
            <a:rPr lang="en-US" baseline="0"/>
            <a:t>L &lt; T</a:t>
          </a:r>
          <a:br>
            <a:rPr lang="en-US" baseline="0"/>
          </a:br>
          <a:endParaRPr lang="en-US" baseline="0"/>
        </a:p>
        <a:p>
          <a:r>
            <a:rPr lang="en-US" baseline="0"/>
            <a:t> Upper Bound = </a:t>
          </a:r>
          <a:r>
            <a:rPr lang="en-US" sz="1100" b="0" i="0" u="none" strike="noStrike">
              <a:effectLst/>
              <a:latin typeface="+mn-lt"/>
              <a:ea typeface="+mn-ea"/>
              <a:cs typeface="+mn-cs"/>
            </a:rPr>
            <a:t>0.416*L*H</a:t>
          </a:r>
          <a:r>
            <a:rPr lang="en-US" sz="1100" b="0" i="0" u="none" strike="noStrike" baseline="-25000">
              <a:effectLst/>
              <a:latin typeface="+mn-lt"/>
              <a:ea typeface="+mn-ea"/>
              <a:cs typeface="+mn-cs"/>
            </a:rPr>
            <a:t>w</a:t>
          </a:r>
          <a:r>
            <a:rPr lang="en-US" sz="1100" b="0" i="0" u="none" strike="noStrike" baseline="30000">
              <a:effectLst/>
              <a:latin typeface="+mn-lt"/>
              <a:ea typeface="+mn-ea"/>
              <a:cs typeface="+mn-cs"/>
            </a:rPr>
            <a:t>1.5</a:t>
          </a:r>
          <a:r>
            <a:rPr lang="en-US"/>
            <a:t> </a:t>
          </a:r>
          <a:endParaRPr lang="en-US" baseline="0"/>
        </a:p>
        <a:p>
          <a:r>
            <a:rPr lang="en-US" baseline="0"/>
            <a:t> Value = 1,100*Br</a:t>
          </a:r>
          <a:r>
            <a:rPr lang="en-US" baseline="30000"/>
            <a:t>1.35</a:t>
          </a:r>
          <a:endParaRPr lang="en-US" baseline="0"/>
        </a:p>
        <a:p>
          <a:r>
            <a:rPr lang="en-US" baseline="0"/>
            <a:t> Lower Bound = 3.2*H</a:t>
          </a:r>
          <a:r>
            <a:rPr lang="en-US" baseline="-25000"/>
            <a:t>w</a:t>
          </a:r>
          <a:r>
            <a:rPr lang="en-US" baseline="30000"/>
            <a:t>2.5</a:t>
          </a: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CC"/>
    <pageSetUpPr fitToPage="1"/>
  </sheetPr>
  <dimension ref="A1:L41"/>
  <sheetViews>
    <sheetView zoomScale="115" zoomScaleNormal="115" workbookViewId="0">
      <selection activeCell="B5" sqref="B5:B6"/>
    </sheetView>
  </sheetViews>
  <sheetFormatPr defaultRowHeight="12.75" x14ac:dyDescent="0.2"/>
  <cols>
    <col min="1" max="1" width="25.125" style="2" customWidth="1"/>
    <col min="2" max="2" width="18" style="2" customWidth="1"/>
    <col min="3" max="3" width="7.25" style="2" customWidth="1"/>
    <col min="4" max="5" width="9" style="2"/>
    <col min="6" max="6" width="10.875" style="2" customWidth="1"/>
    <col min="7" max="7" width="10.25" style="2" customWidth="1"/>
    <col min="8" max="11" width="9" style="2"/>
    <col min="12" max="12" width="10.625" style="2" customWidth="1"/>
    <col min="13" max="16384" width="9" style="2"/>
  </cols>
  <sheetData>
    <row r="1" spans="1:12" ht="13.5" thickBot="1" x14ac:dyDescent="0.25">
      <c r="A1" s="1" t="s">
        <v>109</v>
      </c>
      <c r="B1" s="117" t="s">
        <v>34</v>
      </c>
      <c r="C1" s="112" t="s">
        <v>115</v>
      </c>
      <c r="D1" s="113">
        <f ca="1">NOW()</f>
        <v>44439.682548842589</v>
      </c>
    </row>
    <row r="2" spans="1:12" ht="16.5" thickTop="1" x14ac:dyDescent="0.25">
      <c r="A2" s="3" t="s">
        <v>114</v>
      </c>
      <c r="B2" s="111">
        <f ca="1">NOW()</f>
        <v>44439.682548842589</v>
      </c>
      <c r="E2" s="51"/>
      <c r="F2" s="52"/>
      <c r="G2" s="52"/>
      <c r="H2" s="53" t="s">
        <v>21</v>
      </c>
      <c r="I2" s="52"/>
      <c r="J2" s="52"/>
      <c r="K2" s="52"/>
      <c r="L2" s="54"/>
    </row>
    <row r="3" spans="1:12" ht="15.75" x14ac:dyDescent="0.25">
      <c r="A3" s="3" t="s">
        <v>108</v>
      </c>
      <c r="B3" s="114" t="s">
        <v>118</v>
      </c>
      <c r="E3" s="55"/>
      <c r="F3" s="56"/>
      <c r="G3" s="56"/>
      <c r="H3" s="108"/>
      <c r="I3" s="56"/>
      <c r="J3" s="56"/>
      <c r="K3" s="56"/>
      <c r="L3" s="57"/>
    </row>
    <row r="4" spans="1:12" ht="15.75" x14ac:dyDescent="0.25">
      <c r="A4" s="3" t="s">
        <v>110</v>
      </c>
      <c r="B4" s="115">
        <f ca="1">NOW()</f>
        <v>44439.682548842589</v>
      </c>
      <c r="E4" s="55"/>
      <c r="F4" s="56"/>
      <c r="G4" s="56"/>
      <c r="H4" s="108"/>
      <c r="I4" s="56"/>
      <c r="J4" s="56"/>
      <c r="K4" s="56"/>
      <c r="L4" s="57"/>
    </row>
    <row r="5" spans="1:12" x14ac:dyDescent="0.2">
      <c r="A5" s="2" t="s">
        <v>111</v>
      </c>
      <c r="B5" s="110" t="s">
        <v>116</v>
      </c>
      <c r="E5" s="55"/>
      <c r="F5" s="56"/>
      <c r="G5" s="56"/>
      <c r="H5" s="56"/>
      <c r="I5" s="56"/>
      <c r="J5" s="56"/>
      <c r="K5" s="56"/>
      <c r="L5" s="57"/>
    </row>
    <row r="6" spans="1:12" x14ac:dyDescent="0.2">
      <c r="A6" s="2" t="s">
        <v>17</v>
      </c>
      <c r="B6" s="109" t="s">
        <v>117</v>
      </c>
      <c r="E6" s="55"/>
      <c r="F6" s="56"/>
      <c r="G6" s="56"/>
      <c r="H6" s="56"/>
      <c r="I6" s="56"/>
      <c r="J6" s="56"/>
      <c r="K6" s="56"/>
      <c r="L6" s="57"/>
    </row>
    <row r="7" spans="1:12" x14ac:dyDescent="0.2">
      <c r="A7" s="2" t="s">
        <v>30</v>
      </c>
      <c r="B7" s="109" t="s">
        <v>102</v>
      </c>
      <c r="E7" s="55"/>
      <c r="F7" s="56"/>
      <c r="G7" s="56"/>
      <c r="H7" s="56"/>
      <c r="I7" s="56"/>
      <c r="J7" s="56"/>
      <c r="K7" s="56"/>
      <c r="L7" s="57"/>
    </row>
    <row r="8" spans="1:12" x14ac:dyDescent="0.2">
      <c r="A8" s="2" t="s">
        <v>97</v>
      </c>
      <c r="B8" s="106"/>
      <c r="E8" s="55"/>
      <c r="F8" s="56"/>
      <c r="G8" s="56"/>
      <c r="H8" s="56"/>
      <c r="I8" s="56"/>
      <c r="J8" s="56"/>
      <c r="K8" s="56"/>
      <c r="L8" s="57"/>
    </row>
    <row r="9" spans="1:12" x14ac:dyDescent="0.2">
      <c r="A9" s="6" t="s">
        <v>19</v>
      </c>
      <c r="B9" s="7">
        <v>300</v>
      </c>
      <c r="C9" s="2" t="s">
        <v>11</v>
      </c>
      <c r="E9" s="55"/>
      <c r="F9" s="56"/>
      <c r="G9" s="56"/>
      <c r="H9" s="56"/>
      <c r="I9" s="56"/>
      <c r="J9" s="56"/>
      <c r="K9" s="56"/>
      <c r="L9" s="57"/>
    </row>
    <row r="10" spans="1:12" x14ac:dyDescent="0.2">
      <c r="A10" s="6" t="s">
        <v>44</v>
      </c>
      <c r="B10" s="7">
        <v>300</v>
      </c>
      <c r="C10" s="2" t="s">
        <v>11</v>
      </c>
      <c r="E10" s="55"/>
      <c r="F10" s="56"/>
      <c r="G10" s="56"/>
      <c r="H10" s="56"/>
      <c r="I10" s="56"/>
      <c r="J10" s="56"/>
      <c r="K10" s="56"/>
      <c r="L10" s="57"/>
    </row>
    <row r="11" spans="1:12" x14ac:dyDescent="0.2">
      <c r="A11" s="6" t="s">
        <v>10</v>
      </c>
      <c r="B11" s="7">
        <v>250</v>
      </c>
      <c r="C11" s="2" t="s">
        <v>11</v>
      </c>
      <c r="E11" s="55"/>
      <c r="F11" s="56"/>
      <c r="G11" s="56"/>
      <c r="H11" s="56"/>
      <c r="I11" s="56"/>
      <c r="J11" s="56"/>
      <c r="K11" s="58">
        <f>B14</f>
        <v>1200</v>
      </c>
      <c r="L11" s="57" t="s">
        <v>22</v>
      </c>
    </row>
    <row r="12" spans="1:12" x14ac:dyDescent="0.2">
      <c r="A12" s="6" t="s">
        <v>20</v>
      </c>
      <c r="B12" s="7">
        <v>250</v>
      </c>
      <c r="C12" s="2" t="s">
        <v>11</v>
      </c>
      <c r="E12" s="55"/>
      <c r="F12" s="56"/>
      <c r="G12" s="56"/>
      <c r="H12" s="56"/>
      <c r="I12" s="56"/>
      <c r="J12" s="56"/>
      <c r="K12" s="58"/>
      <c r="L12" s="57"/>
    </row>
    <row r="13" spans="1:12" x14ac:dyDescent="0.2">
      <c r="A13" s="6" t="s">
        <v>0</v>
      </c>
      <c r="B13" s="7">
        <v>250</v>
      </c>
      <c r="C13" s="2" t="s">
        <v>11</v>
      </c>
      <c r="E13" s="55"/>
      <c r="F13" s="56"/>
      <c r="G13" s="56"/>
      <c r="H13" s="56"/>
      <c r="I13" s="56"/>
      <c r="J13" s="56"/>
      <c r="K13" s="56"/>
      <c r="L13" s="57"/>
    </row>
    <row r="14" spans="1:12" ht="26.25" customHeight="1" x14ac:dyDescent="0.2">
      <c r="A14" s="8" t="s">
        <v>49</v>
      </c>
      <c r="B14" s="9">
        <v>1200</v>
      </c>
      <c r="C14" s="2" t="s">
        <v>12</v>
      </c>
      <c r="E14" s="55"/>
      <c r="F14" s="56"/>
      <c r="G14" s="56"/>
      <c r="H14" s="56"/>
      <c r="I14" s="56"/>
      <c r="J14" s="56"/>
      <c r="K14" s="56"/>
      <c r="L14" s="57"/>
    </row>
    <row r="15" spans="1:12" x14ac:dyDescent="0.2">
      <c r="A15" s="2" t="s">
        <v>48</v>
      </c>
      <c r="B15" s="9">
        <v>5000</v>
      </c>
      <c r="C15" s="2" t="s">
        <v>13</v>
      </c>
      <c r="E15" s="55"/>
      <c r="F15" s="56"/>
      <c r="G15" s="56"/>
      <c r="H15" s="56"/>
      <c r="I15" s="56"/>
      <c r="J15" s="56"/>
      <c r="K15" s="56"/>
      <c r="L15" s="57"/>
    </row>
    <row r="16" spans="1:12" ht="13.5" thickBot="1" x14ac:dyDescent="0.25">
      <c r="A16" s="2" t="s">
        <v>98</v>
      </c>
      <c r="B16" s="10">
        <v>16</v>
      </c>
      <c r="C16" s="2" t="s">
        <v>14</v>
      </c>
      <c r="E16" s="59"/>
      <c r="F16" s="60"/>
      <c r="G16" s="60"/>
      <c r="H16" s="60"/>
      <c r="I16" s="60"/>
      <c r="J16" s="60"/>
      <c r="K16" s="60"/>
      <c r="L16" s="61"/>
    </row>
    <row r="17" spans="1:12" ht="13.5" thickTop="1" x14ac:dyDescent="0.2">
      <c r="A17" s="2" t="s">
        <v>4</v>
      </c>
      <c r="B17" s="10">
        <v>2.5</v>
      </c>
      <c r="C17" s="2" t="s">
        <v>15</v>
      </c>
    </row>
    <row r="18" spans="1:12" x14ac:dyDescent="0.2">
      <c r="A18" s="2" t="s">
        <v>5</v>
      </c>
      <c r="B18" s="10">
        <v>3</v>
      </c>
      <c r="C18" s="2" t="s">
        <v>15</v>
      </c>
    </row>
    <row r="19" spans="1:12" x14ac:dyDescent="0.2">
      <c r="A19" s="2" t="s">
        <v>6</v>
      </c>
      <c r="B19" s="10">
        <v>2.5</v>
      </c>
      <c r="C19" s="2" t="s">
        <v>15</v>
      </c>
    </row>
    <row r="20" spans="1:12" ht="13.5" thickBot="1" x14ac:dyDescent="0.25">
      <c r="A20" s="2" t="s">
        <v>7</v>
      </c>
      <c r="B20" s="10">
        <v>2.5</v>
      </c>
      <c r="C20" s="2" t="s">
        <v>15</v>
      </c>
    </row>
    <row r="21" spans="1:12" ht="16.5" thickTop="1" x14ac:dyDescent="0.25">
      <c r="A21" s="3" t="s">
        <v>42</v>
      </c>
      <c r="B21" s="10">
        <v>10</v>
      </c>
      <c r="C21" s="2" t="s">
        <v>14</v>
      </c>
      <c r="E21" s="51"/>
      <c r="F21" s="52"/>
      <c r="G21" s="52"/>
      <c r="H21" s="52"/>
      <c r="I21" s="53" t="s">
        <v>29</v>
      </c>
      <c r="J21" s="52"/>
      <c r="K21" s="52"/>
      <c r="L21" s="54"/>
    </row>
    <row r="22" spans="1:12" x14ac:dyDescent="0.2">
      <c r="A22" s="3" t="s">
        <v>43</v>
      </c>
      <c r="B22" s="10">
        <v>0</v>
      </c>
      <c r="C22" s="2" t="s">
        <v>14</v>
      </c>
      <c r="E22" s="55"/>
      <c r="F22" s="56"/>
      <c r="G22" s="56"/>
      <c r="H22" s="56"/>
      <c r="I22" s="56"/>
      <c r="J22" s="56"/>
      <c r="K22" s="56"/>
      <c r="L22" s="57"/>
    </row>
    <row r="23" spans="1:12" x14ac:dyDescent="0.2">
      <c r="E23" s="55"/>
      <c r="F23" s="56"/>
      <c r="G23" s="56"/>
      <c r="H23" s="56"/>
      <c r="I23" s="56"/>
      <c r="J23" s="56"/>
      <c r="K23" s="56"/>
      <c r="L23" s="57"/>
    </row>
    <row r="24" spans="1:12" x14ac:dyDescent="0.2">
      <c r="E24" s="55"/>
      <c r="F24" s="56"/>
      <c r="G24" s="56"/>
      <c r="H24" s="56" t="s">
        <v>24</v>
      </c>
      <c r="I24" s="56"/>
      <c r="J24" s="56" t="s">
        <v>3</v>
      </c>
      <c r="K24" s="56"/>
      <c r="L24" s="57" t="s">
        <v>25</v>
      </c>
    </row>
    <row r="25" spans="1:12" x14ac:dyDescent="0.2">
      <c r="D25" s="5"/>
      <c r="E25" s="62"/>
      <c r="F25" s="63" t="s">
        <v>41</v>
      </c>
      <c r="G25" s="64">
        <f>B10</f>
        <v>300</v>
      </c>
      <c r="H25" s="65">
        <f>B21</f>
        <v>10</v>
      </c>
      <c r="I25" s="56"/>
      <c r="J25" s="65">
        <f>B16</f>
        <v>16</v>
      </c>
      <c r="K25" s="56"/>
      <c r="L25" s="66">
        <f>B22</f>
        <v>0</v>
      </c>
    </row>
    <row r="26" spans="1:12" x14ac:dyDescent="0.2">
      <c r="A26" s="11" t="s">
        <v>107</v>
      </c>
      <c r="B26" s="12">
        <f>MAX(VersionNotes!A$2:A$50)</f>
        <v>4.2</v>
      </c>
      <c r="E26" s="55"/>
      <c r="F26" s="56"/>
      <c r="G26" s="56"/>
      <c r="H26" s="56"/>
      <c r="I26" s="56"/>
      <c r="J26" s="56"/>
      <c r="K26" s="56"/>
      <c r="L26" s="57"/>
    </row>
    <row r="27" spans="1:12" x14ac:dyDescent="0.2">
      <c r="A27" s="11" t="s">
        <v>35</v>
      </c>
      <c r="B27" s="13">
        <f>VLOOKUP(B26,VersionNotes!A$2:B$50,2)</f>
        <v>42692</v>
      </c>
      <c r="E27" s="55"/>
      <c r="F27" s="56"/>
      <c r="G27" s="56"/>
      <c r="H27" s="56"/>
      <c r="I27" s="56"/>
      <c r="J27" s="56"/>
      <c r="K27" s="56"/>
      <c r="L27" s="57"/>
    </row>
    <row r="28" spans="1:12" x14ac:dyDescent="0.2">
      <c r="A28" s="2" t="s">
        <v>47</v>
      </c>
      <c r="E28" s="67" t="s">
        <v>19</v>
      </c>
      <c r="F28" s="68">
        <f>B9</f>
        <v>300</v>
      </c>
      <c r="G28" s="69"/>
      <c r="H28" s="69"/>
      <c r="I28" s="69"/>
      <c r="J28" s="56"/>
      <c r="K28" s="56"/>
      <c r="L28" s="57"/>
    </row>
    <row r="29" spans="1:12" x14ac:dyDescent="0.2">
      <c r="A29" s="118" t="s">
        <v>99</v>
      </c>
      <c r="B29" s="119"/>
      <c r="C29" s="119"/>
      <c r="D29" s="120"/>
      <c r="E29" s="55"/>
      <c r="F29" s="56"/>
      <c r="G29" s="70"/>
      <c r="H29" s="56"/>
      <c r="I29" s="56"/>
      <c r="J29" s="56"/>
      <c r="K29" s="56"/>
      <c r="L29" s="57"/>
    </row>
    <row r="30" spans="1:12" x14ac:dyDescent="0.2">
      <c r="A30" s="119"/>
      <c r="B30" s="119"/>
      <c r="C30" s="119"/>
      <c r="D30" s="120"/>
      <c r="E30" s="55"/>
      <c r="F30" s="56"/>
      <c r="G30" s="56"/>
      <c r="H30" s="56"/>
      <c r="I30" s="71">
        <f>B17</f>
        <v>2.5</v>
      </c>
      <c r="J30" s="56"/>
      <c r="K30" s="72">
        <f>B19</f>
        <v>2.5</v>
      </c>
      <c r="L30" s="57"/>
    </row>
    <row r="31" spans="1:12" x14ac:dyDescent="0.2">
      <c r="A31" s="119"/>
      <c r="B31" s="119"/>
      <c r="C31" s="119"/>
      <c r="D31" s="120"/>
      <c r="E31" s="55"/>
      <c r="F31" s="56"/>
      <c r="G31" s="56"/>
      <c r="H31" s="56"/>
      <c r="I31" s="56"/>
      <c r="J31" s="56"/>
      <c r="K31" s="56"/>
      <c r="L31" s="73" t="s">
        <v>25</v>
      </c>
    </row>
    <row r="32" spans="1:12" x14ac:dyDescent="0.2">
      <c r="A32" s="119"/>
      <c r="B32" s="119"/>
      <c r="C32" s="119"/>
      <c r="D32" s="120"/>
      <c r="E32" s="67" t="s">
        <v>24</v>
      </c>
      <c r="F32" s="68">
        <f>B12</f>
        <v>250</v>
      </c>
      <c r="G32" s="69"/>
      <c r="H32" s="69"/>
      <c r="I32" s="69"/>
      <c r="J32" s="56"/>
      <c r="K32" s="69"/>
      <c r="L32" s="74">
        <f>B13</f>
        <v>250</v>
      </c>
    </row>
    <row r="33" spans="1:12" x14ac:dyDescent="0.2">
      <c r="A33" s="119"/>
      <c r="B33" s="119"/>
      <c r="C33" s="119"/>
      <c r="D33" s="120"/>
      <c r="E33" s="55"/>
      <c r="F33" s="56"/>
      <c r="G33" s="56"/>
      <c r="H33" s="56"/>
      <c r="I33" s="56"/>
      <c r="J33" s="56"/>
      <c r="K33" s="56"/>
      <c r="L33" s="57"/>
    </row>
    <row r="34" spans="1:12" x14ac:dyDescent="0.2">
      <c r="A34" s="119"/>
      <c r="B34" s="119"/>
      <c r="C34" s="119"/>
      <c r="D34" s="120"/>
      <c r="E34" s="55"/>
      <c r="F34" s="56"/>
      <c r="G34" s="56"/>
      <c r="H34" s="56"/>
      <c r="I34" s="56"/>
      <c r="J34" s="56"/>
      <c r="K34" s="56"/>
      <c r="L34" s="57"/>
    </row>
    <row r="35" spans="1:12" x14ac:dyDescent="0.2">
      <c r="A35" s="119"/>
      <c r="B35" s="119"/>
      <c r="C35" s="119"/>
      <c r="D35" s="120"/>
      <c r="E35" s="55"/>
      <c r="F35" s="56"/>
      <c r="G35" s="56"/>
      <c r="H35" s="71">
        <f>B18</f>
        <v>3</v>
      </c>
      <c r="I35" s="56"/>
      <c r="J35" s="56"/>
      <c r="K35" s="56"/>
      <c r="L35" s="75">
        <f>B20</f>
        <v>2.5</v>
      </c>
    </row>
    <row r="36" spans="1:12" x14ac:dyDescent="0.2">
      <c r="A36" s="119"/>
      <c r="B36" s="119"/>
      <c r="C36" s="119"/>
      <c r="D36" s="120"/>
      <c r="E36" s="55"/>
      <c r="F36" s="56"/>
      <c r="G36" s="56"/>
      <c r="H36" s="56"/>
      <c r="I36" s="56"/>
      <c r="J36" s="56"/>
      <c r="K36" s="56"/>
      <c r="L36" s="57"/>
    </row>
    <row r="37" spans="1:12" x14ac:dyDescent="0.2">
      <c r="A37" s="119"/>
      <c r="B37" s="119"/>
      <c r="C37" s="119"/>
      <c r="D37" s="120"/>
      <c r="E37" s="55"/>
      <c r="F37" s="56"/>
      <c r="G37" s="56"/>
      <c r="H37" s="56"/>
      <c r="I37" s="56"/>
      <c r="J37" s="56"/>
      <c r="K37" s="56"/>
      <c r="L37" s="57"/>
    </row>
    <row r="38" spans="1:12" x14ac:dyDescent="0.2">
      <c r="A38" s="119"/>
      <c r="B38" s="119"/>
      <c r="C38" s="119"/>
      <c r="D38" s="120"/>
      <c r="E38" s="55"/>
      <c r="F38" s="76" t="s">
        <v>26</v>
      </c>
      <c r="G38" s="68">
        <f>B11</f>
        <v>250</v>
      </c>
      <c r="H38" s="69"/>
      <c r="I38" s="56"/>
      <c r="J38" s="56"/>
      <c r="K38" s="56"/>
      <c r="L38" s="57"/>
    </row>
    <row r="39" spans="1:12" x14ac:dyDescent="0.2">
      <c r="A39" s="119"/>
      <c r="B39" s="119"/>
      <c r="C39" s="119"/>
      <c r="D39" s="120"/>
      <c r="E39" s="55"/>
      <c r="F39" s="56"/>
      <c r="G39" s="56"/>
      <c r="H39" s="56"/>
      <c r="I39" s="56"/>
      <c r="J39" s="56"/>
      <c r="K39" s="56"/>
      <c r="L39" s="57"/>
    </row>
    <row r="40" spans="1:12" ht="13.5" thickBot="1" x14ac:dyDescent="0.25">
      <c r="A40" s="119"/>
      <c r="B40" s="119"/>
      <c r="C40" s="119"/>
      <c r="D40" s="120"/>
      <c r="E40" s="59"/>
      <c r="F40" s="60"/>
      <c r="G40" s="60"/>
      <c r="H40" s="60"/>
      <c r="I40" s="60"/>
      <c r="J40" s="60"/>
      <c r="K40" s="60"/>
      <c r="L40" s="61"/>
    </row>
    <row r="41" spans="1:12" ht="13.5" thickTop="1" x14ac:dyDescent="0.2">
      <c r="A41" s="14"/>
      <c r="B41" s="14"/>
      <c r="C41" s="15"/>
      <c r="D41" s="4"/>
    </row>
  </sheetData>
  <sheetProtection sheet="1" objects="1" scenarios="1"/>
  <mergeCells count="1">
    <mergeCell ref="A29:D40"/>
  </mergeCells>
  <phoneticPr fontId="3" type="noConversion"/>
  <dataValidations xWindow="347" yWindow="300" count="10">
    <dataValidation type="decimal" operator="greaterThan" showInputMessage="1" showErrorMessage="1" errorTitle="Lenth of Dam @ Breach Elevation" error="Enter non-zero length." promptTitle="Dam Length @ Breach Elevation" prompt="Enter the length of dam between abutments at initial reservoir elevation, prior to breach." sqref="B14" xr:uid="{00000000-0002-0000-0000-000000000000}">
      <formula1>0</formula1>
    </dataValidation>
    <dataValidation type="decimal" operator="greaterThan" allowBlank="1" showInputMessage="1" showErrorMessage="1" errorTitle="Storage Volume" error="Enter non-zero Storage Volume" promptTitle="Storage Volume" prompt="Enter storage volume at initial pool elevation, prior to breach." sqref="B15" xr:uid="{00000000-0002-0000-0000-000001000000}">
      <formula1>0</formula1>
    </dataValidation>
    <dataValidation type="decimal" allowBlank="1" showInputMessage="1" showErrorMessage="1" errorTitle="Top Width" error="Enter top width from 10'-100'" promptTitle="Dam Top Width" prompt="Enter top width of embankment of dam between 10'-100'" sqref="B16" xr:uid="{00000000-0002-0000-0000-000002000000}">
      <formula1>10</formula1>
      <formula2>100</formula2>
    </dataValidation>
    <dataValidation type="decimal" showInputMessage="1" showErrorMessage="1" errorTitle="Berm Width " error="Enter berm width from 0' to 100'" promptTitle="Berm Width" prompt="Enter berm width from 0' to 100'" sqref="B21:B22" xr:uid="{00000000-0002-0000-0000-000003000000}">
      <formula1>0</formula1>
      <formula2>100</formula2>
    </dataValidation>
    <dataValidation type="decimal" allowBlank="1" showInputMessage="1" showErrorMessage="1" errorTitle="Top of Dam Elevation" error="Enter top of dam elevation between 0' and 15,000'" promptTitle="Top of Dam Elevation" prompt="Enter top of dam elevation between 0' and 15,000'" sqref="B9" xr:uid="{00000000-0002-0000-0000-000004000000}">
      <formula1>0</formula1>
      <formula2>15000</formula2>
    </dataValidation>
    <dataValidation type="decimal" operator="lessThanOrEqual" allowBlank="1" showInputMessage="1" showErrorMessage="1" errorTitle="Water Surface at Breach " error="Enter initial water surface elevation of reservoir pool, prior to breach.  This elevation must be at or below top of dam elevation." promptTitle="Water Surface at Breach" prompt="Enter initial water surface elevation of reservoir pool, prior to breach.  This elevation is generally at or below top of dam." sqref="B10" xr:uid="{00000000-0002-0000-0000-000005000000}">
      <formula1>B9</formula1>
    </dataValidation>
    <dataValidation type="decimal" operator="lessThan" showInputMessage="1" showErrorMessage="1" errorTitle="Average Valley Floor Elevation" error="Enter downstream average valley floor elevation below initial water surface elevation (Water Surface @Breach). " promptTitle="Average Valley Floor Elevation" prompt="Enter downstream average valley floor elevation below which the breach will not erode.  This is generally higher than the downstream channel thalweg." sqref="B11" xr:uid="{00000000-0002-0000-0000-000006000000}">
      <formula1>B10</formula1>
    </dataValidation>
    <dataValidation type="decimal" showInputMessage="1" showErrorMessage="1" errorTitle="Berm Elevation" error="Enter berm elevation lower than top of dam and above average valley floor elevation. " promptTitle="Berm Elevation" prompt="Enter berm elevation below top of dam and above average valley floor elevation.  _x000a__x000a_If no berm is present:_x000a_Set berm elevation = average valley floor_x000a_Set berm width = 0" sqref="B12" xr:uid="{00000000-0002-0000-0000-000007000000}">
      <formula1>B11</formula1>
      <formula2>B9</formula2>
    </dataValidation>
    <dataValidation type="decimal" showInputMessage="1" showErrorMessage="1" errorTitle="Berm Elevation" error="Enter berm elevation below top of dam and above average valley floor elevation. " promptTitle="Berm Elevation" prompt="Enter berm elevation below top of dam and above average valley floor elevation.  _x000a__x000a_If no berm is present:_x000a_Set berm elevation = average valley floor_x000a_Set berm width = 0" sqref="B13" xr:uid="{00000000-0002-0000-0000-000008000000}">
      <formula1>B11</formula1>
      <formula2>B9</formula2>
    </dataValidation>
    <dataValidation type="decimal" allowBlank="1" showInputMessage="1" showErrorMessage="1" promptTitle="Slope" prompt="Enter slope value between 2:1 and 20:1. Enter first digits only, not &quot;:1&quot;." sqref="B17:B20" xr:uid="{00000000-0002-0000-0000-000009000000}">
      <formula1>2</formula1>
      <formula2>20</formula2>
    </dataValidation>
  </dataValidations>
  <pageMargins left="1" right="0.75" top="1" bottom="1" header="0.5" footer="0.5"/>
  <pageSetup scale="74" orientation="landscape" r:id="rId1"/>
  <headerFooter alignWithMargins="0">
    <oddHeader>&amp;C&amp;"-,Bold"&amp;12TR-60 Peak Breach Discharge Computation Inputs
&amp;"-,Regular"&amp;9&amp;Z&amp;F - &amp;A</oddHeader>
    <oddFooter>&amp;L&amp;"-,Regular"Prepared by USDA-NRCS &amp;C&amp;"-,Regular"&amp;D - &amp;T&amp;R&amp;"-,Regular"Page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3" tint="0.79998168889431442"/>
    <pageSetUpPr fitToPage="1"/>
  </sheetPr>
  <dimension ref="A1:N40"/>
  <sheetViews>
    <sheetView tabSelected="1" topLeftCell="A21" zoomScale="70" zoomScaleNormal="70" workbookViewId="0">
      <selection activeCell="A28" sqref="A28"/>
    </sheetView>
  </sheetViews>
  <sheetFormatPr defaultRowHeight="15.75" x14ac:dyDescent="0.25"/>
  <cols>
    <col min="1" max="1" width="29.875" style="39" customWidth="1"/>
    <col min="2" max="2" width="10.5" style="39" customWidth="1"/>
    <col min="3" max="3" width="6.875" style="39" customWidth="1"/>
    <col min="4" max="4" width="28.875" style="39" customWidth="1"/>
    <col min="5" max="5" width="6.875" style="39" customWidth="1"/>
    <col min="6" max="6" width="4.125" style="39" customWidth="1"/>
    <col min="7" max="7" width="12.125" style="83" customWidth="1"/>
    <col min="8" max="9" width="9" style="39"/>
    <col min="10" max="10" width="6.5" style="39" customWidth="1"/>
    <col min="11" max="11" width="31.875" style="39" customWidth="1"/>
    <col min="12" max="12" width="22" style="39" customWidth="1"/>
    <col min="13" max="13" width="10.25" style="39" bestFit="1" customWidth="1"/>
    <col min="14" max="16384" width="9" style="39"/>
  </cols>
  <sheetData>
    <row r="1" spans="1:7" x14ac:dyDescent="0.25">
      <c r="A1" s="121" t="s">
        <v>87</v>
      </c>
      <c r="B1" s="121"/>
      <c r="C1" s="121"/>
      <c r="D1" s="121"/>
      <c r="E1" s="121"/>
      <c r="F1" s="121"/>
      <c r="G1" s="121"/>
    </row>
    <row r="2" spans="1:7" x14ac:dyDescent="0.25">
      <c r="A2" s="40" t="str">
        <f>Input!A5</f>
        <v xml:space="preserve">Watershed or Owner Name: </v>
      </c>
      <c r="B2" s="124" t="str">
        <f>Input!B5</f>
        <v>Quimby Creek</v>
      </c>
      <c r="C2" s="124"/>
      <c r="D2" s="40" t="str">
        <f>Input!A1</f>
        <v>Prepared by:</v>
      </c>
      <c r="E2" s="126" t="str">
        <f>Input!B1</f>
        <v>K Visser</v>
      </c>
      <c r="F2" s="126"/>
      <c r="G2" s="116">
        <f ca="1">Input!B2</f>
        <v>44439.682548842589</v>
      </c>
    </row>
    <row r="3" spans="1:7" x14ac:dyDescent="0.25">
      <c r="A3" s="40" t="str">
        <f>Input!A6</f>
        <v>Site No.</v>
      </c>
      <c r="B3" s="125" t="str">
        <f>Input!B6</f>
        <v>Lotta Wadder 1</v>
      </c>
      <c r="C3" s="125"/>
      <c r="D3" s="40" t="s">
        <v>108</v>
      </c>
      <c r="E3" s="126" t="str">
        <f>Input!B3</f>
        <v>Chezy Chequer</v>
      </c>
      <c r="F3" s="122"/>
      <c r="G3" s="116">
        <f ca="1">Input!B4</f>
        <v>44439.682548842589</v>
      </c>
    </row>
    <row r="4" spans="1:7" x14ac:dyDescent="0.25">
      <c r="A4" s="40" t="s">
        <v>31</v>
      </c>
      <c r="B4" s="122" t="str">
        <f>Input!B7</f>
        <v>Clay, KS</v>
      </c>
      <c r="C4" s="122"/>
      <c r="D4" s="40"/>
      <c r="E4" s="41"/>
      <c r="F4" s="41"/>
    </row>
    <row r="5" spans="1:7" ht="18.75" x14ac:dyDescent="0.3">
      <c r="A5" s="127" t="s">
        <v>76</v>
      </c>
      <c r="B5" s="127"/>
      <c r="C5" s="127"/>
      <c r="D5" s="127"/>
      <c r="E5" s="127"/>
      <c r="F5" s="127"/>
      <c r="G5" s="127"/>
    </row>
    <row r="6" spans="1:7" x14ac:dyDescent="0.25">
      <c r="A6" s="39" t="s">
        <v>18</v>
      </c>
    </row>
    <row r="7" spans="1:7" x14ac:dyDescent="0.25">
      <c r="A7" s="42" t="str">
        <f>Input!A9</f>
        <v>Top of Dam</v>
      </c>
      <c r="B7" s="43">
        <f>Input!B9</f>
        <v>300</v>
      </c>
      <c r="C7" s="39" t="s">
        <v>86</v>
      </c>
      <c r="D7" s="39" t="s">
        <v>3</v>
      </c>
      <c r="E7" s="40">
        <f>Input!B16</f>
        <v>16</v>
      </c>
      <c r="F7" s="39" t="s">
        <v>83</v>
      </c>
    </row>
    <row r="8" spans="1:7" x14ac:dyDescent="0.25">
      <c r="A8" s="44" t="str">
        <f>Input!A10</f>
        <v xml:space="preserve">Water Surface@Breach </v>
      </c>
      <c r="B8" s="43">
        <f>Input!B10</f>
        <v>300</v>
      </c>
      <c r="C8" s="39" t="s">
        <v>86</v>
      </c>
      <c r="D8" s="39" t="s">
        <v>4</v>
      </c>
      <c r="E8" s="45">
        <f>Input!B17</f>
        <v>2.5</v>
      </c>
      <c r="F8" s="39" t="s">
        <v>15</v>
      </c>
    </row>
    <row r="9" spans="1:7" x14ac:dyDescent="0.25">
      <c r="A9" s="44" t="str">
        <f>Input!A12</f>
        <v xml:space="preserve">Wave Berm  </v>
      </c>
      <c r="B9" s="43">
        <f>Input!B12</f>
        <v>250</v>
      </c>
      <c r="C9" s="39" t="s">
        <v>86</v>
      </c>
      <c r="D9" s="39" t="s">
        <v>5</v>
      </c>
      <c r="E9" s="45">
        <f>Input!B18</f>
        <v>3</v>
      </c>
      <c r="F9" s="39" t="s">
        <v>15</v>
      </c>
    </row>
    <row r="10" spans="1:7" x14ac:dyDescent="0.25">
      <c r="A10" s="42" t="s">
        <v>10</v>
      </c>
      <c r="B10" s="43">
        <f>Input!B11</f>
        <v>250</v>
      </c>
      <c r="C10" s="39" t="s">
        <v>86</v>
      </c>
      <c r="D10" s="39" t="s">
        <v>6</v>
      </c>
      <c r="E10" s="45">
        <f>Input!B19</f>
        <v>2.5</v>
      </c>
      <c r="F10" s="39" t="s">
        <v>15</v>
      </c>
    </row>
    <row r="11" spans="1:7" x14ac:dyDescent="0.25">
      <c r="A11" s="44" t="s">
        <v>0</v>
      </c>
      <c r="B11" s="43">
        <f>Input!B13</f>
        <v>250</v>
      </c>
      <c r="C11" s="39" t="s">
        <v>86</v>
      </c>
      <c r="D11" s="39" t="s">
        <v>7</v>
      </c>
      <c r="E11" s="45">
        <f>Input!B20</f>
        <v>2.5</v>
      </c>
      <c r="F11" s="39" t="s">
        <v>15</v>
      </c>
    </row>
    <row r="12" spans="1:7" x14ac:dyDescent="0.25">
      <c r="A12" s="39" t="s">
        <v>1</v>
      </c>
      <c r="B12" s="46">
        <f>Input!B14</f>
        <v>1200</v>
      </c>
      <c r="C12" s="39" t="s">
        <v>83</v>
      </c>
      <c r="D12" s="47" t="s">
        <v>9</v>
      </c>
      <c r="E12" s="40">
        <f>Input!B21</f>
        <v>10</v>
      </c>
      <c r="F12" s="39" t="s">
        <v>83</v>
      </c>
    </row>
    <row r="13" spans="1:7" x14ac:dyDescent="0.25">
      <c r="A13" s="39" t="s">
        <v>2</v>
      </c>
      <c r="B13" s="46">
        <f>Input!B15</f>
        <v>5000</v>
      </c>
      <c r="C13" s="39" t="s">
        <v>85</v>
      </c>
      <c r="D13" s="47" t="s">
        <v>8</v>
      </c>
      <c r="E13" s="40">
        <f>Input!B22</f>
        <v>0</v>
      </c>
      <c r="F13" s="39" t="s">
        <v>83</v>
      </c>
    </row>
    <row r="14" spans="1:7" ht="18.75" x14ac:dyDescent="0.3">
      <c r="A14" s="127" t="s">
        <v>88</v>
      </c>
      <c r="B14" s="127"/>
      <c r="C14" s="127"/>
      <c r="D14" s="127"/>
      <c r="E14" s="127"/>
      <c r="F14" s="127"/>
      <c r="G14" s="127"/>
    </row>
    <row r="16" spans="1:7" ht="18.75" x14ac:dyDescent="0.35">
      <c r="A16" s="47" t="s">
        <v>81</v>
      </c>
      <c r="D16" s="46">
        <f>B13</f>
        <v>5000</v>
      </c>
      <c r="E16" s="39" t="s">
        <v>85</v>
      </c>
    </row>
    <row r="17" spans="1:14" ht="18.75" x14ac:dyDescent="0.35">
      <c r="A17" s="39" t="s">
        <v>79</v>
      </c>
      <c r="D17" s="46">
        <f>B8-B10</f>
        <v>50</v>
      </c>
      <c r="E17" s="39" t="s">
        <v>83</v>
      </c>
    </row>
    <row r="18" spans="1:14" ht="18" x14ac:dyDescent="0.25">
      <c r="A18" s="39" t="s">
        <v>77</v>
      </c>
      <c r="D18" s="46">
        <f>(E7*(B7-B10))+E12*(B9-B10)+E13*(B11-B10)+((((B7+B9)/2)-B10)*(B7-B9)*E8)+(((B9-B10)^2)*E9)/2+(((B7+B11)/2-B10)*(B7-B11))*E10+(((B11-B10)^2)*(E11)/2)</f>
        <v>7050</v>
      </c>
      <c r="E18" s="47" t="s">
        <v>84</v>
      </c>
    </row>
    <row r="19" spans="1:14" ht="18" x14ac:dyDescent="0.25">
      <c r="A19" s="47" t="s">
        <v>78</v>
      </c>
      <c r="D19" s="46">
        <f>65*(D17^0.35)/0.416</f>
        <v>614.41177120753355</v>
      </c>
      <c r="E19" s="39" t="s">
        <v>83</v>
      </c>
    </row>
    <row r="20" spans="1:14" ht="18.75" x14ac:dyDescent="0.35">
      <c r="A20" s="39" t="s">
        <v>80</v>
      </c>
      <c r="D20" s="85">
        <f>(Vs*HW)/A</f>
        <v>35.460992907801419</v>
      </c>
      <c r="E20" s="39" t="s">
        <v>82</v>
      </c>
    </row>
    <row r="21" spans="1:14" x14ac:dyDescent="0.25">
      <c r="A21" s="38"/>
      <c r="B21" s="38"/>
      <c r="C21" s="38"/>
      <c r="D21" s="38"/>
      <c r="E21" s="131"/>
      <c r="F21" s="131"/>
    </row>
    <row r="22" spans="1:14" x14ac:dyDescent="0.25">
      <c r="A22" s="89" t="s">
        <v>89</v>
      </c>
      <c r="B22" s="86" t="str">
        <f>IF(HW&lt;103,"Hw&lt;103' - Low Dam","Hw &gt;= 103'-Tall Dam")</f>
        <v>Hw&lt;103' - Low Dam</v>
      </c>
      <c r="C22" s="83"/>
      <c r="D22" s="83"/>
      <c r="E22" s="84"/>
      <c r="F22" s="84"/>
    </row>
    <row r="23" spans="1:14" x14ac:dyDescent="0.25">
      <c r="A23" s="48" t="str">
        <f>IF(HW&lt;103,"","Qmax")</f>
        <v/>
      </c>
      <c r="B23" s="87" t="str">
        <f>IF(HW&lt;103,"",65*(HW^1.85))</f>
        <v/>
      </c>
      <c r="C23" s="83"/>
      <c r="D23" s="83" t="str">
        <f>IF(HW&lt;103,"","65*(Hw^1.85)")</f>
        <v/>
      </c>
      <c r="E23" s="84"/>
      <c r="F23" s="84"/>
    </row>
    <row r="24" spans="1:14" x14ac:dyDescent="0.25">
      <c r="A24" s="90" t="str">
        <f>IF(HW&gt;103,"","Dam width")</f>
        <v>Dam width</v>
      </c>
      <c r="B24" s="87" t="str">
        <f>IF(HW&lt;103,IF(L&gt;T,"L &gt; T  - Wide Dam","L &lt; T - Narrow Dam"),"")</f>
        <v>L &gt; T  - Wide Dam</v>
      </c>
      <c r="C24" s="83"/>
      <c r="D24" s="96" t="str">
        <f>IF(B27&gt;B25,"L&lt; 7.7 Hw - Lo bnd &gt; Up bnd, use Lo Bnd","")</f>
        <v/>
      </c>
      <c r="E24" s="84"/>
      <c r="F24" s="84"/>
      <c r="K24" s="82"/>
      <c r="L24" s="82"/>
      <c r="M24" s="82"/>
    </row>
    <row r="25" spans="1:14" x14ac:dyDescent="0.25">
      <c r="A25" s="88" t="str">
        <f>IF(HW&lt;103,"Upper Bound","")</f>
        <v>Upper Bound</v>
      </c>
      <c r="B25" s="87">
        <f>IF(HW&lt;103,IF(L&gt;T,65*HW^1.85,0.416*L*HW^1.5),"")</f>
        <v>90366.583811230434</v>
      </c>
      <c r="C25" s="83"/>
      <c r="D25" s="39" t="str">
        <f>IF(HW&lt;103,IF(L&gt;T,"65*(Hw^1.85)","0.416*L*(Hw^1.5)"),"")</f>
        <v>65*(Hw^1.85)</v>
      </c>
      <c r="E25" s="84"/>
      <c r="F25" s="84"/>
      <c r="M25" s="91"/>
      <c r="N25" s="39" t="str">
        <f>IF(L25,"Value","")</f>
        <v/>
      </c>
    </row>
    <row r="26" spans="1:14" x14ac:dyDescent="0.25">
      <c r="A26" s="88" t="str">
        <f>IF(HW&lt;103,"Value","")</f>
        <v>Value</v>
      </c>
      <c r="B26" s="87">
        <f>IF(HW&lt;103,1100*Br^1.35,"")</f>
        <v>136005.47417404302</v>
      </c>
      <c r="C26" s="83"/>
      <c r="D26" s="83" t="str">
        <f>IF(HW&lt;103,"1,100*(Br^1.35)","")</f>
        <v>1,100*(Br^1.35)</v>
      </c>
      <c r="E26" s="84"/>
      <c r="F26" s="84"/>
      <c r="M26" s="91"/>
    </row>
    <row r="27" spans="1:14" x14ac:dyDescent="0.25">
      <c r="A27" s="88" t="str">
        <f>IF(HW&lt;103,"Lower Bound","")</f>
        <v>Lower Bound</v>
      </c>
      <c r="B27" s="87">
        <f>IF(HW&lt;103,3.2*HW^(5/2),"")</f>
        <v>56568.542494923749</v>
      </c>
      <c r="C27" s="83"/>
      <c r="D27" s="83" t="str">
        <f>IF(HW&lt;103,"3.2*(Hw^(5/2))","")</f>
        <v>3.2*(Hw^(5/2))</v>
      </c>
      <c r="F27" s="84"/>
      <c r="M27" s="91"/>
    </row>
    <row r="28" spans="1:14" ht="16.5" thickBot="1" x14ac:dyDescent="0.3">
      <c r="A28" s="100" t="s">
        <v>91</v>
      </c>
      <c r="B28" s="92">
        <f>D29</f>
        <v>90400</v>
      </c>
      <c r="C28" s="83"/>
      <c r="D28" s="83"/>
      <c r="F28" s="84"/>
      <c r="M28" s="91"/>
    </row>
    <row r="29" spans="1:14" ht="25.5" thickTop="1" thickBot="1" x14ac:dyDescent="0.5">
      <c r="A29" s="128" t="s">
        <v>90</v>
      </c>
      <c r="B29" s="129"/>
      <c r="C29" s="129"/>
      <c r="D29" s="98">
        <f>ROUND(MAX(C32:D35),1-MAX(E32:E35))</f>
        <v>90400</v>
      </c>
      <c r="E29" s="84"/>
      <c r="F29" s="84"/>
    </row>
    <row r="30" spans="1:14" ht="16.5" thickTop="1" x14ac:dyDescent="0.25">
      <c r="A30" s="83"/>
      <c r="B30" s="83"/>
      <c r="C30" s="83"/>
      <c r="D30" s="83"/>
      <c r="E30" s="84"/>
      <c r="F30" s="84"/>
    </row>
    <row r="31" spans="1:14" ht="18.75" x14ac:dyDescent="0.35">
      <c r="A31" s="95" t="s">
        <v>38</v>
      </c>
      <c r="B31" s="95" t="s">
        <v>37</v>
      </c>
      <c r="C31" s="130" t="s">
        <v>64</v>
      </c>
      <c r="D31" s="130"/>
      <c r="E31" s="50" t="s">
        <v>39</v>
      </c>
      <c r="F31" s="49"/>
      <c r="G31" s="107"/>
    </row>
    <row r="32" spans="1:14" x14ac:dyDescent="0.25">
      <c r="A32" s="94" t="s">
        <v>112</v>
      </c>
      <c r="B32" s="95">
        <v>1</v>
      </c>
      <c r="C32" s="123" t="str">
        <f>IF(HW&lt;103,"",65*HW^1.85)</f>
        <v/>
      </c>
      <c r="D32" s="123"/>
      <c r="E32" s="97" t="str">
        <f>IF(Case1="","",FLOOR(LOG10(C32)-1,1))</f>
        <v/>
      </c>
      <c r="F32" s="93"/>
      <c r="G32" s="107"/>
    </row>
    <row r="33" spans="1:7" x14ac:dyDescent="0.25">
      <c r="A33" s="94" t="s">
        <v>113</v>
      </c>
      <c r="B33" s="95">
        <v>2</v>
      </c>
      <c r="C33" s="123">
        <f>IF(T&lt;L,IF(Value&lt;LowBnd,LowBnd,IF(Value&gt;UpBnd,UpBnd,Value)),"")</f>
        <v>90366.583811230434</v>
      </c>
      <c r="D33" s="123"/>
      <c r="E33" s="97">
        <f>IF(Case2="","",FLOOR(LOG10(C33)-1,1))</f>
        <v>3</v>
      </c>
      <c r="F33" s="49"/>
      <c r="G33" s="107"/>
    </row>
    <row r="34" spans="1:7" x14ac:dyDescent="0.25">
      <c r="A34" s="94" t="s">
        <v>104</v>
      </c>
      <c r="B34" s="95">
        <v>3</v>
      </c>
      <c r="C34" s="123" t="str">
        <f>IF(AND(HW&lt;103,L&lt;T,UpBnd&gt;LowBnd),IF(Value&gt;UpBnd,UpBnd,IF(Value&gt;LowBnd,Value,LowBnd)),"")</f>
        <v/>
      </c>
      <c r="D34" s="123"/>
      <c r="E34" s="97" t="str">
        <f>IF(Case3="","",FLOOR(LOG10(C34)-1,1))</f>
        <v/>
      </c>
      <c r="F34" s="49"/>
      <c r="G34" s="107"/>
    </row>
    <row r="35" spans="1:7" x14ac:dyDescent="0.25">
      <c r="A35" s="94" t="s">
        <v>103</v>
      </c>
      <c r="B35" s="95">
        <v>4</v>
      </c>
      <c r="C35" s="123" t="str">
        <f>IF(UpBnd&lt;LowBnd,LowBnd,"")</f>
        <v/>
      </c>
      <c r="D35" s="123"/>
      <c r="E35" s="97" t="str">
        <f>IF(Case4="","",FLOOR(LOG10(C35)-1,1))</f>
        <v/>
      </c>
      <c r="F35" s="49"/>
      <c r="G35" s="107"/>
    </row>
    <row r="36" spans="1:7" x14ac:dyDescent="0.25">
      <c r="E36" s="49"/>
      <c r="F36" s="49"/>
      <c r="G36" s="107"/>
    </row>
    <row r="37" spans="1:7" x14ac:dyDescent="0.25">
      <c r="A37" s="39" t="s">
        <v>27</v>
      </c>
    </row>
    <row r="38" spans="1:7" x14ac:dyDescent="0.25">
      <c r="A38" s="39" t="s">
        <v>28</v>
      </c>
    </row>
    <row r="39" spans="1:7" x14ac:dyDescent="0.25">
      <c r="A39" s="2" t="s">
        <v>32</v>
      </c>
      <c r="B39" s="23">
        <f>Input!B26</f>
        <v>4.2</v>
      </c>
    </row>
    <row r="40" spans="1:7" x14ac:dyDescent="0.25">
      <c r="A40" s="2" t="s">
        <v>35</v>
      </c>
      <c r="B40" s="24">
        <f>Input!B27</f>
        <v>42692</v>
      </c>
    </row>
  </sheetData>
  <mergeCells count="15">
    <mergeCell ref="A1:G1"/>
    <mergeCell ref="B4:C4"/>
    <mergeCell ref="C34:D34"/>
    <mergeCell ref="C35:D35"/>
    <mergeCell ref="B2:C2"/>
    <mergeCell ref="B3:C3"/>
    <mergeCell ref="E2:F2"/>
    <mergeCell ref="E3:F3"/>
    <mergeCell ref="A5:G5"/>
    <mergeCell ref="A14:G14"/>
    <mergeCell ref="A29:C29"/>
    <mergeCell ref="C32:D32"/>
    <mergeCell ref="C33:D33"/>
    <mergeCell ref="C31:D31"/>
    <mergeCell ref="E21:F21"/>
  </mergeCells>
  <phoneticPr fontId="3" type="noConversion"/>
  <conditionalFormatting sqref="E36:G36 F35:G35">
    <cfRule type="expression" dxfId="2" priority="3" stopIfTrue="1">
      <formula>(L&gt;T)</formula>
    </cfRule>
  </conditionalFormatting>
  <conditionalFormatting sqref="B25">
    <cfRule type="cellIs" dxfId="1" priority="1" operator="lessThan">
      <formula>$B$27</formula>
    </cfRule>
  </conditionalFormatting>
  <printOptions horizontalCentered="1"/>
  <pageMargins left="0.5" right="0.5" top="1" bottom="1" header="0.5" footer="0.5"/>
  <pageSetup scale="88" fitToHeight="2" orientation="portrait" r:id="rId1"/>
  <headerFooter alignWithMargins="0">
    <oddHeader>&amp;C&amp;"-,Bold"&amp;12TR-60 Breach Peak Discharge
&amp;"-,Regular"&amp;9&amp;Z&amp;F - &amp;A</oddHeader>
    <oddFooter>&amp;L&amp;"-,Regular"Prepared by USDA-NRCS &amp;C&amp;"-,Regular"&amp;D - &amp;T&amp;R&amp;"-,Regular"Page &amp;P</oddFooter>
  </headerFooter>
  <rowBreaks count="1" manualBreakCount="1">
    <brk id="4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  <pageSetUpPr fitToPage="1"/>
  </sheetPr>
  <dimension ref="A1:O70"/>
  <sheetViews>
    <sheetView zoomScaleNormal="100" workbookViewId="0">
      <selection activeCell="J26" sqref="J26"/>
    </sheetView>
  </sheetViews>
  <sheetFormatPr defaultColWidth="8" defaultRowHeight="12.75" x14ac:dyDescent="0.2"/>
  <cols>
    <col min="1" max="2" width="8" style="22" customWidth="1"/>
    <col min="3" max="3" width="11.5" style="22" customWidth="1"/>
    <col min="4" max="4" width="11.625" style="22" customWidth="1"/>
    <col min="5" max="5" width="12" style="22" hidden="1" customWidth="1"/>
    <col min="6" max="6" width="11.25" style="22" customWidth="1"/>
    <col min="7" max="7" width="10.25" style="22" customWidth="1"/>
    <col min="8" max="16384" width="8" style="22"/>
  </cols>
  <sheetData>
    <row r="1" spans="1:7" ht="15.75" x14ac:dyDescent="0.25">
      <c r="A1" s="132" t="str">
        <f>'TR-60 Breach Qmax'!A2 &amp; 'TR-60 Breach Qmax'!B2</f>
        <v>Watershed or Owner Name: Quimby Creek</v>
      </c>
      <c r="B1" s="132"/>
      <c r="C1" s="132"/>
      <c r="D1" s="132"/>
      <c r="E1" s="132"/>
    </row>
    <row r="2" spans="1:7" ht="15.75" x14ac:dyDescent="0.25">
      <c r="A2" s="132" t="str">
        <f>'TR-60 Breach Qmax'!A3 &amp; 'TR-60 Breach Qmax'!B3</f>
        <v>Site No.Lotta Wadder 1</v>
      </c>
      <c r="B2" s="132"/>
      <c r="C2" s="132"/>
      <c r="D2" s="132"/>
      <c r="E2" s="132"/>
    </row>
    <row r="3" spans="1:7" ht="15.75" x14ac:dyDescent="0.25">
      <c r="A3" s="132" t="s">
        <v>65</v>
      </c>
      <c r="B3" s="132"/>
      <c r="C3" s="132"/>
      <c r="D3" s="132"/>
      <c r="E3" s="132"/>
      <c r="F3" s="132"/>
    </row>
    <row r="4" spans="1:7" x14ac:dyDescent="0.2">
      <c r="B4" s="2" t="s">
        <v>32</v>
      </c>
      <c r="C4" s="23">
        <f>Input!B26</f>
        <v>4.2</v>
      </c>
    </row>
    <row r="5" spans="1:7" x14ac:dyDescent="0.2">
      <c r="B5" s="2" t="s">
        <v>46</v>
      </c>
      <c r="C5" s="24">
        <f>Input!B27</f>
        <v>42692</v>
      </c>
    </row>
    <row r="6" spans="1:7" ht="53.25" x14ac:dyDescent="0.35">
      <c r="C6" s="101" t="s">
        <v>93</v>
      </c>
      <c r="F6" s="25" t="s">
        <v>23</v>
      </c>
    </row>
    <row r="7" spans="1:7" ht="14.25" x14ac:dyDescent="0.25">
      <c r="B7" s="26" t="s">
        <v>120</v>
      </c>
      <c r="C7" s="27">
        <f>Qmax</f>
        <v>90400</v>
      </c>
      <c r="D7" s="26" t="s">
        <v>121</v>
      </c>
      <c r="F7" s="28">
        <f>'TR-60 Breach Qmax'!D16</f>
        <v>5000</v>
      </c>
    </row>
    <row r="8" spans="1:7" ht="24" x14ac:dyDescent="0.2">
      <c r="A8" s="78" t="s">
        <v>122</v>
      </c>
      <c r="D8" s="78" t="s">
        <v>66</v>
      </c>
    </row>
    <row r="9" spans="1:7" ht="40.5" x14ac:dyDescent="0.2">
      <c r="A9" s="29" t="s">
        <v>56</v>
      </c>
      <c r="B9" s="29" t="s">
        <v>57</v>
      </c>
      <c r="C9" s="29" t="s">
        <v>58</v>
      </c>
      <c r="D9" s="30" t="s">
        <v>59</v>
      </c>
      <c r="E9" s="29" t="s">
        <v>60</v>
      </c>
      <c r="F9" s="29" t="s">
        <v>61</v>
      </c>
      <c r="G9" s="29" t="s">
        <v>62</v>
      </c>
    </row>
    <row r="10" spans="1:7" x14ac:dyDescent="0.2">
      <c r="A10" s="31">
        <v>0</v>
      </c>
      <c r="C10" s="32">
        <v>0</v>
      </c>
      <c r="D10" s="26">
        <v>0</v>
      </c>
    </row>
    <row r="11" spans="1:7" x14ac:dyDescent="0.2">
      <c r="A11" s="33">
        <v>0</v>
      </c>
      <c r="B11" s="34">
        <f>C11*60</f>
        <v>6</v>
      </c>
      <c r="C11" s="32">
        <v>0.1</v>
      </c>
      <c r="D11" s="35">
        <f>C7</f>
        <v>90400</v>
      </c>
      <c r="E11" s="36">
        <f>(D11+D10)/2*$C$11*3600</f>
        <v>16272000</v>
      </c>
      <c r="F11" s="37">
        <f>(D10+D11)/2*(C11-C10)*(3600/43560)</f>
        <v>373.55371900826447</v>
      </c>
      <c r="G11" s="37">
        <f>F11</f>
        <v>373.55371900826447</v>
      </c>
    </row>
    <row r="12" spans="1:7" x14ac:dyDescent="0.2">
      <c r="A12" s="33">
        <f>C12*(C$7/F$7)*3600/43560</f>
        <v>0.29884297520661152</v>
      </c>
      <c r="B12" s="34">
        <f t="shared" ref="B12:B58" si="0">C12*60</f>
        <v>12</v>
      </c>
      <c r="C12" s="32">
        <f>C11+0.1</f>
        <v>0.2</v>
      </c>
      <c r="D12" s="35">
        <f t="shared" ref="D12:D58" si="1">C$7*EXP(-A12)</f>
        <v>67047.497905886208</v>
      </c>
      <c r="E12" s="36">
        <f>(D12+D11)/2*($C$12-C11)*3600</f>
        <v>28340549.623059519</v>
      </c>
      <c r="F12" s="37">
        <f>(D11+D12)/2*(C12-C11)*(3600/43560)</f>
        <v>650.60949547886867</v>
      </c>
      <c r="G12" s="37">
        <f>G11+F12</f>
        <v>1024.1632144871332</v>
      </c>
    </row>
    <row r="13" spans="1:7" x14ac:dyDescent="0.2">
      <c r="A13" s="33">
        <f t="shared" ref="A13:A58" si="2">C13*(C$7/F$7)*3600/43560</f>
        <v>0.44826446280991739</v>
      </c>
      <c r="B13" s="34">
        <f t="shared" si="0"/>
        <v>18.000000000000004</v>
      </c>
      <c r="C13" s="32">
        <f>C12+0.1</f>
        <v>0.30000000000000004</v>
      </c>
      <c r="D13" s="35">
        <f t="shared" si="1"/>
        <v>57741.710881953615</v>
      </c>
      <c r="E13" s="36">
        <f t="shared" ref="E13:E58" si="3">(D13+D12)/2*$C$12*3600</f>
        <v>44924115.163622342</v>
      </c>
      <c r="F13" s="37">
        <f>(D12+D13)/2*(C13-C12)*(3600/43560)</f>
        <v>515.65788755305732</v>
      </c>
      <c r="G13" s="37">
        <f t="shared" ref="G13:G58" si="4">G12+F13</f>
        <v>1539.8211020401905</v>
      </c>
    </row>
    <row r="14" spans="1:7" x14ac:dyDescent="0.2">
      <c r="A14" s="33">
        <f t="shared" si="2"/>
        <v>0.59768595041322303</v>
      </c>
      <c r="B14" s="34">
        <f t="shared" si="0"/>
        <v>24</v>
      </c>
      <c r="C14" s="32">
        <f>C13+0.1</f>
        <v>0.4</v>
      </c>
      <c r="D14" s="35">
        <f t="shared" si="1"/>
        <v>49727.510790263441</v>
      </c>
      <c r="E14" s="36">
        <f t="shared" si="3"/>
        <v>38688919.801998146</v>
      </c>
      <c r="F14" s="37">
        <f>(D13+D14)/2*(C14-C13)*(3600/43560)</f>
        <v>444.08769286040098</v>
      </c>
      <c r="G14" s="37">
        <f t="shared" si="4"/>
        <v>1983.9087949005914</v>
      </c>
    </row>
    <row r="15" spans="1:7" x14ac:dyDescent="0.2">
      <c r="A15" s="33">
        <f t="shared" si="2"/>
        <v>0.74710743801652879</v>
      </c>
      <c r="B15" s="34">
        <f t="shared" si="0"/>
        <v>30</v>
      </c>
      <c r="C15" s="32">
        <f t="shared" ref="C15:C70" si="5">C14+0.1</f>
        <v>0.5</v>
      </c>
      <c r="D15" s="35">
        <f t="shared" si="1"/>
        <v>42825.633179646815</v>
      </c>
      <c r="E15" s="36">
        <f t="shared" si="3"/>
        <v>33319131.82916769</v>
      </c>
      <c r="F15" s="37">
        <f t="shared" ref="F15:F58" si="6">(D14+D15)/2*(C15-C14)*(3600/43560)</f>
        <v>382.45100814012494</v>
      </c>
      <c r="G15" s="37">
        <f t="shared" si="4"/>
        <v>2366.3598030407165</v>
      </c>
    </row>
    <row r="16" spans="1:7" x14ac:dyDescent="0.2">
      <c r="A16" s="33">
        <f t="shared" si="2"/>
        <v>0.89652892561983466</v>
      </c>
      <c r="B16" s="34">
        <f t="shared" si="0"/>
        <v>36</v>
      </c>
      <c r="C16" s="32">
        <f t="shared" si="5"/>
        <v>0.6</v>
      </c>
      <c r="D16" s="35">
        <f t="shared" si="1"/>
        <v>36881.694420078777</v>
      </c>
      <c r="E16" s="36">
        <f t="shared" si="3"/>
        <v>28694637.935901217</v>
      </c>
      <c r="F16" s="37">
        <f t="shared" si="6"/>
        <v>329.36912231291564</v>
      </c>
      <c r="G16" s="37">
        <f t="shared" si="4"/>
        <v>2695.7289253536323</v>
      </c>
    </row>
    <row r="17" spans="1:15" x14ac:dyDescent="0.2">
      <c r="A17" s="33">
        <f t="shared" si="2"/>
        <v>1.0459504132231405</v>
      </c>
      <c r="B17" s="34">
        <f t="shared" si="0"/>
        <v>42</v>
      </c>
      <c r="C17" s="32">
        <f t="shared" si="5"/>
        <v>0.7</v>
      </c>
      <c r="D17" s="35">
        <f t="shared" si="1"/>
        <v>31762.73839525022</v>
      </c>
      <c r="E17" s="36">
        <f t="shared" si="3"/>
        <v>24711995.813518438</v>
      </c>
      <c r="F17" s="37">
        <f t="shared" si="6"/>
        <v>283.65468105507847</v>
      </c>
      <c r="G17" s="37">
        <f t="shared" si="4"/>
        <v>2979.3836064087109</v>
      </c>
    </row>
    <row r="18" spans="1:15" x14ac:dyDescent="0.2">
      <c r="A18" s="33">
        <f t="shared" si="2"/>
        <v>1.1953719008264461</v>
      </c>
      <c r="B18" s="34">
        <f t="shared" si="0"/>
        <v>47.999999999999993</v>
      </c>
      <c r="C18" s="32">
        <f t="shared" si="5"/>
        <v>0.79999999999999993</v>
      </c>
      <c r="D18" s="35">
        <f t="shared" si="1"/>
        <v>27354.262493316004</v>
      </c>
      <c r="E18" s="36">
        <f t="shared" si="3"/>
        <v>21282120.319883842</v>
      </c>
      <c r="F18" s="37">
        <f t="shared" si="6"/>
        <v>244.28512763870336</v>
      </c>
      <c r="G18" s="37">
        <f t="shared" si="4"/>
        <v>3223.6687340474141</v>
      </c>
    </row>
    <row r="19" spans="1:15" x14ac:dyDescent="0.2">
      <c r="A19" s="33">
        <f t="shared" si="2"/>
        <v>1.344793388429752</v>
      </c>
      <c r="B19" s="34">
        <f t="shared" si="0"/>
        <v>53.999999999999993</v>
      </c>
      <c r="C19" s="32">
        <f t="shared" si="5"/>
        <v>0.89999999999999991</v>
      </c>
      <c r="D19" s="35">
        <f t="shared" si="1"/>
        <v>23557.656372132198</v>
      </c>
      <c r="E19" s="36">
        <f t="shared" si="3"/>
        <v>18328290.791561354</v>
      </c>
      <c r="F19" s="37">
        <f t="shared" si="6"/>
        <v>210.37983002251318</v>
      </c>
      <c r="G19" s="37">
        <f t="shared" si="4"/>
        <v>3434.0485640699271</v>
      </c>
    </row>
    <row r="20" spans="1:15" x14ac:dyDescent="0.2">
      <c r="A20" s="33">
        <f t="shared" si="2"/>
        <v>1.4942148760330574</v>
      </c>
      <c r="B20" s="34">
        <f t="shared" si="0"/>
        <v>59.999999999999993</v>
      </c>
      <c r="C20" s="32">
        <f t="shared" si="5"/>
        <v>0.99999999999999989</v>
      </c>
      <c r="D20" s="35">
        <f t="shared" si="1"/>
        <v>20287.996208381272</v>
      </c>
      <c r="E20" s="36">
        <f t="shared" si="3"/>
        <v>15784434.928984853</v>
      </c>
      <c r="F20" s="37">
        <f t="shared" si="6"/>
        <v>181.1803825641052</v>
      </c>
      <c r="G20" s="37">
        <f t="shared" si="4"/>
        <v>3615.2289466340321</v>
      </c>
      <c r="I20" s="22" t="s">
        <v>63</v>
      </c>
      <c r="J20" s="22" t="s">
        <v>123</v>
      </c>
    </row>
    <row r="21" spans="1:15" x14ac:dyDescent="0.2">
      <c r="A21" s="33">
        <f t="shared" si="2"/>
        <v>1.6436363636363631</v>
      </c>
      <c r="B21" s="34">
        <f t="shared" si="0"/>
        <v>65.999999999999986</v>
      </c>
      <c r="C21" s="32">
        <f t="shared" si="5"/>
        <v>1.0999999999999999</v>
      </c>
      <c r="D21" s="35">
        <f t="shared" si="1"/>
        <v>17472.145091572136</v>
      </c>
      <c r="E21" s="36">
        <f t="shared" si="3"/>
        <v>13593650.867983228</v>
      </c>
      <c r="F21" s="37">
        <f t="shared" si="6"/>
        <v>156.03364173534462</v>
      </c>
      <c r="G21" s="37">
        <f t="shared" si="4"/>
        <v>3771.2625883693768</v>
      </c>
      <c r="J21" s="22" t="s">
        <v>124</v>
      </c>
    </row>
    <row r="22" spans="1:15" x14ac:dyDescent="0.2">
      <c r="A22" s="33">
        <f t="shared" si="2"/>
        <v>1.7930578512396693</v>
      </c>
      <c r="B22" s="34">
        <f>C22*60</f>
        <v>72</v>
      </c>
      <c r="C22" s="32">
        <f t="shared" si="5"/>
        <v>1.2</v>
      </c>
      <c r="D22" s="35">
        <f t="shared" si="1"/>
        <v>15047.117071859178</v>
      </c>
      <c r="E22" s="36">
        <f t="shared" si="3"/>
        <v>11706934.378835274</v>
      </c>
      <c r="F22" s="37">
        <f t="shared" si="6"/>
        <v>134.37711637781547</v>
      </c>
      <c r="G22" s="37">
        <f t="shared" si="4"/>
        <v>3905.6397047471924</v>
      </c>
    </row>
    <row r="23" spans="1:15" x14ac:dyDescent="0.2">
      <c r="A23" s="33">
        <f t="shared" si="2"/>
        <v>1.9424793388429751</v>
      </c>
      <c r="B23" s="34">
        <f t="shared" si="0"/>
        <v>78</v>
      </c>
      <c r="C23" s="32">
        <f t="shared" si="5"/>
        <v>1.3</v>
      </c>
      <c r="D23" s="35">
        <f t="shared" si="1"/>
        <v>12958.668268125246</v>
      </c>
      <c r="E23" s="36">
        <f t="shared" si="3"/>
        <v>10082082.722394394</v>
      </c>
      <c r="F23" s="37">
        <f t="shared" si="6"/>
        <v>115.72638570241509</v>
      </c>
      <c r="G23" s="37">
        <f t="shared" si="4"/>
        <v>4021.3660904496073</v>
      </c>
    </row>
    <row r="24" spans="1:15" x14ac:dyDescent="0.2">
      <c r="A24" s="33">
        <f t="shared" si="2"/>
        <v>2.0919008264462811</v>
      </c>
      <c r="B24" s="34">
        <f t="shared" si="0"/>
        <v>84.000000000000014</v>
      </c>
      <c r="C24" s="32">
        <f t="shared" si="5"/>
        <v>1.4000000000000001</v>
      </c>
      <c r="D24" s="35">
        <f t="shared" si="1"/>
        <v>11160.083521737861</v>
      </c>
      <c r="E24" s="36">
        <f t="shared" si="3"/>
        <v>8682750.6443507168</v>
      </c>
      <c r="F24" s="37">
        <f t="shared" si="6"/>
        <v>99.664263594475727</v>
      </c>
      <c r="G24" s="37">
        <f t="shared" si="4"/>
        <v>4121.0303540440827</v>
      </c>
      <c r="J24" s="22" t="s">
        <v>94</v>
      </c>
    </row>
    <row r="25" spans="1:15" x14ac:dyDescent="0.2">
      <c r="A25" s="33">
        <f t="shared" si="2"/>
        <v>2.2413223140495866</v>
      </c>
      <c r="B25" s="34">
        <f t="shared" si="0"/>
        <v>90.000000000000014</v>
      </c>
      <c r="C25" s="32">
        <f t="shared" si="5"/>
        <v>1.5000000000000002</v>
      </c>
      <c r="D25" s="35">
        <f t="shared" si="1"/>
        <v>9611.131455422581</v>
      </c>
      <c r="E25" s="36">
        <f t="shared" si="3"/>
        <v>7477637.3917777594</v>
      </c>
      <c r="F25" s="37">
        <f t="shared" si="6"/>
        <v>85.8314668477705</v>
      </c>
      <c r="G25" s="37">
        <f t="shared" si="4"/>
        <v>4206.8618208918533</v>
      </c>
      <c r="J25" s="22" t="s">
        <v>127</v>
      </c>
    </row>
    <row r="26" spans="1:15" x14ac:dyDescent="0.2">
      <c r="A26" s="33">
        <f t="shared" si="2"/>
        <v>2.390743801652893</v>
      </c>
      <c r="B26" s="34">
        <f t="shared" si="0"/>
        <v>96.000000000000014</v>
      </c>
      <c r="C26" s="32">
        <f t="shared" si="5"/>
        <v>1.6000000000000003</v>
      </c>
      <c r="D26" s="35">
        <f t="shared" si="1"/>
        <v>8277.1645636419689</v>
      </c>
      <c r="E26" s="36">
        <f t="shared" si="3"/>
        <v>6439786.5668632379</v>
      </c>
      <c r="F26" s="37">
        <f t="shared" si="6"/>
        <v>73.918578591175901</v>
      </c>
      <c r="G26" s="37">
        <f t="shared" si="4"/>
        <v>4280.7803994830292</v>
      </c>
    </row>
    <row r="27" spans="1:15" ht="18" x14ac:dyDescent="0.3">
      <c r="A27" s="33">
        <f t="shared" si="2"/>
        <v>2.540165289256199</v>
      </c>
      <c r="B27" s="34">
        <f t="shared" si="0"/>
        <v>102.00000000000003</v>
      </c>
      <c r="C27" s="32">
        <f t="shared" si="5"/>
        <v>1.7000000000000004</v>
      </c>
      <c r="D27" s="35">
        <f t="shared" si="1"/>
        <v>7128.3442049849773</v>
      </c>
      <c r="E27" s="36">
        <f t="shared" si="3"/>
        <v>5545983.1567057017</v>
      </c>
      <c r="F27" s="37">
        <f t="shared" si="6"/>
        <v>63.659127143086614</v>
      </c>
      <c r="G27" s="37">
        <f t="shared" si="4"/>
        <v>4344.4395266261163</v>
      </c>
      <c r="J27" s="22" t="s">
        <v>125</v>
      </c>
      <c r="O27" s="102" t="s">
        <v>95</v>
      </c>
    </row>
    <row r="28" spans="1:15" ht="17.25" x14ac:dyDescent="0.3">
      <c r="A28" s="33">
        <f t="shared" si="2"/>
        <v>2.6895867768595045</v>
      </c>
      <c r="B28" s="34">
        <f t="shared" si="0"/>
        <v>108.00000000000003</v>
      </c>
      <c r="C28" s="32">
        <f t="shared" si="5"/>
        <v>1.8000000000000005</v>
      </c>
      <c r="D28" s="35">
        <f t="shared" si="1"/>
        <v>6138.973160923234</v>
      </c>
      <c r="E28" s="36">
        <f t="shared" si="3"/>
        <v>4776234.2517269561</v>
      </c>
      <c r="F28" s="37">
        <f t="shared" si="6"/>
        <v>54.823625478959599</v>
      </c>
      <c r="G28" s="37">
        <f t="shared" si="4"/>
        <v>4399.2631521050762</v>
      </c>
      <c r="J28" s="22" t="s">
        <v>126</v>
      </c>
      <c r="O28" s="102" t="s">
        <v>119</v>
      </c>
    </row>
    <row r="29" spans="1:15" x14ac:dyDescent="0.2">
      <c r="A29" s="33">
        <f t="shared" si="2"/>
        <v>2.8390082644628101</v>
      </c>
      <c r="B29" s="34">
        <f t="shared" si="0"/>
        <v>114.00000000000003</v>
      </c>
      <c r="C29" s="32">
        <f t="shared" si="5"/>
        <v>1.9000000000000006</v>
      </c>
      <c r="D29" s="35">
        <f t="shared" si="1"/>
        <v>5286.9208313735235</v>
      </c>
      <c r="E29" s="36">
        <f t="shared" si="3"/>
        <v>4113321.8372268328</v>
      </c>
      <c r="F29" s="37">
        <f t="shared" si="6"/>
        <v>47.214437984697398</v>
      </c>
      <c r="G29" s="37">
        <f t="shared" si="4"/>
        <v>4446.4775900897739</v>
      </c>
    </row>
    <row r="30" spans="1:15" x14ac:dyDescent="0.2">
      <c r="A30" s="33">
        <f t="shared" si="2"/>
        <v>2.9884297520661161</v>
      </c>
      <c r="B30" s="34">
        <f t="shared" si="0"/>
        <v>120.00000000000003</v>
      </c>
      <c r="C30" s="32">
        <f t="shared" si="5"/>
        <v>2.0000000000000004</v>
      </c>
      <c r="D30" s="35">
        <f t="shared" si="1"/>
        <v>4553.1282096381883</v>
      </c>
      <c r="E30" s="36">
        <f t="shared" si="3"/>
        <v>3542417.6547642169</v>
      </c>
      <c r="F30" s="37">
        <f t="shared" si="6"/>
        <v>40.661359673602064</v>
      </c>
      <c r="G30" s="37">
        <f t="shared" si="4"/>
        <v>4487.1389497633763</v>
      </c>
    </row>
    <row r="31" spans="1:15" x14ac:dyDescent="0.2">
      <c r="A31" s="33">
        <f t="shared" si="2"/>
        <v>3.137851239669422</v>
      </c>
      <c r="B31" s="34">
        <f t="shared" si="0"/>
        <v>126.00000000000003</v>
      </c>
      <c r="C31" s="32">
        <f t="shared" si="5"/>
        <v>2.1000000000000005</v>
      </c>
      <c r="D31" s="35">
        <f t="shared" si="1"/>
        <v>3921.1815638285657</v>
      </c>
      <c r="E31" s="36">
        <f t="shared" si="3"/>
        <v>3050751.5184480315</v>
      </c>
      <c r="F31" s="37">
        <f t="shared" si="6"/>
        <v>35.017808981267606</v>
      </c>
      <c r="G31" s="37">
        <f t="shared" si="4"/>
        <v>4522.1567587446443</v>
      </c>
    </row>
    <row r="32" spans="1:15" x14ac:dyDescent="0.2">
      <c r="A32" s="33">
        <f t="shared" si="2"/>
        <v>3.287272727272728</v>
      </c>
      <c r="B32" s="34">
        <f t="shared" si="0"/>
        <v>132.00000000000003</v>
      </c>
      <c r="C32" s="32">
        <f t="shared" si="5"/>
        <v>2.2000000000000006</v>
      </c>
      <c r="D32" s="35">
        <f t="shared" si="1"/>
        <v>3376.9452887272978</v>
      </c>
      <c r="E32" s="36">
        <f t="shared" si="3"/>
        <v>2627325.666920111</v>
      </c>
      <c r="F32" s="37">
        <f t="shared" si="6"/>
        <v>30.157548977503595</v>
      </c>
      <c r="G32" s="37">
        <f t="shared" si="4"/>
        <v>4552.3143077221475</v>
      </c>
    </row>
    <row r="33" spans="1:7" x14ac:dyDescent="0.2">
      <c r="A33" s="33">
        <f t="shared" si="2"/>
        <v>3.4366942148760335</v>
      </c>
      <c r="B33" s="34">
        <f t="shared" si="0"/>
        <v>138.00000000000006</v>
      </c>
      <c r="C33" s="32">
        <f t="shared" si="5"/>
        <v>2.3000000000000007</v>
      </c>
      <c r="D33" s="35">
        <f t="shared" si="1"/>
        <v>2908.2457155906568</v>
      </c>
      <c r="E33" s="36">
        <f t="shared" si="3"/>
        <v>2262668.7615544638</v>
      </c>
      <c r="F33" s="37">
        <f t="shared" si="6"/>
        <v>25.971863654206448</v>
      </c>
      <c r="G33" s="37">
        <f t="shared" si="4"/>
        <v>4578.2861713763541</v>
      </c>
    </row>
    <row r="34" spans="1:7" x14ac:dyDescent="0.2">
      <c r="A34" s="33">
        <f t="shared" si="2"/>
        <v>3.58611570247934</v>
      </c>
      <c r="B34" s="34">
        <f t="shared" si="0"/>
        <v>144.00000000000006</v>
      </c>
      <c r="C34" s="32">
        <f t="shared" si="5"/>
        <v>2.4000000000000008</v>
      </c>
      <c r="D34" s="35">
        <f t="shared" si="1"/>
        <v>2504.5988072371201</v>
      </c>
      <c r="E34" s="36">
        <f t="shared" si="3"/>
        <v>1948624.0282179997</v>
      </c>
      <c r="F34" s="37">
        <f t="shared" si="6"/>
        <v>22.367126127387529</v>
      </c>
      <c r="G34" s="37">
        <f t="shared" si="4"/>
        <v>4600.6532975037417</v>
      </c>
    </row>
    <row r="35" spans="1:7" x14ac:dyDescent="0.2">
      <c r="A35" s="33">
        <f t="shared" si="2"/>
        <v>3.7355371900826455</v>
      </c>
      <c r="B35" s="34">
        <f t="shared" si="0"/>
        <v>150.00000000000006</v>
      </c>
      <c r="C35" s="32">
        <f t="shared" si="5"/>
        <v>2.5000000000000009</v>
      </c>
      <c r="D35" s="35">
        <f t="shared" si="1"/>
        <v>2156.9756474100327</v>
      </c>
      <c r="E35" s="36">
        <f t="shared" si="3"/>
        <v>1678166.8036729749</v>
      </c>
      <c r="F35" s="37">
        <f t="shared" si="6"/>
        <v>19.262704358046101</v>
      </c>
      <c r="G35" s="37">
        <f t="shared" si="4"/>
        <v>4619.9160018617877</v>
      </c>
    </row>
    <row r="36" spans="1:7" x14ac:dyDescent="0.2">
      <c r="A36" s="33">
        <f t="shared" si="2"/>
        <v>3.8849586776859515</v>
      </c>
      <c r="B36" s="34">
        <f t="shared" si="0"/>
        <v>156.00000000000006</v>
      </c>
      <c r="C36" s="32">
        <f t="shared" si="5"/>
        <v>2.600000000000001</v>
      </c>
      <c r="D36" s="35">
        <f t="shared" si="1"/>
        <v>1857.6004787977422</v>
      </c>
      <c r="E36" s="36">
        <f t="shared" si="3"/>
        <v>1445247.4054347991</v>
      </c>
      <c r="F36" s="37">
        <f t="shared" si="6"/>
        <v>16.589157546313135</v>
      </c>
      <c r="G36" s="37">
        <f t="shared" si="4"/>
        <v>4636.5051594081006</v>
      </c>
    </row>
    <row r="37" spans="1:7" x14ac:dyDescent="0.2">
      <c r="A37" s="33">
        <f t="shared" si="2"/>
        <v>4.0343801652892575</v>
      </c>
      <c r="B37" s="34">
        <f t="shared" si="0"/>
        <v>162.00000000000006</v>
      </c>
      <c r="C37" s="32">
        <f t="shared" si="5"/>
        <v>2.7000000000000011</v>
      </c>
      <c r="D37" s="35">
        <f t="shared" si="1"/>
        <v>1599.7767721545538</v>
      </c>
      <c r="E37" s="36">
        <f t="shared" si="3"/>
        <v>1244655.8103428266</v>
      </c>
      <c r="F37" s="37">
        <f t="shared" si="6"/>
        <v>14.28668285517479</v>
      </c>
      <c r="G37" s="37">
        <f t="shared" si="4"/>
        <v>4650.7918422632756</v>
      </c>
    </row>
    <row r="38" spans="1:7" x14ac:dyDescent="0.2">
      <c r="A38" s="33">
        <f t="shared" si="2"/>
        <v>4.183801652892563</v>
      </c>
      <c r="B38" s="34">
        <f t="shared" si="0"/>
        <v>168.00000000000006</v>
      </c>
      <c r="C38" s="32">
        <f t="shared" si="5"/>
        <v>2.8000000000000012</v>
      </c>
      <c r="D38" s="35">
        <f t="shared" si="1"/>
        <v>1377.7374359752746</v>
      </c>
      <c r="E38" s="36">
        <f t="shared" si="3"/>
        <v>1071905.1149267382</v>
      </c>
      <c r="F38" s="37">
        <f t="shared" si="6"/>
        <v>12.303777719544756</v>
      </c>
      <c r="G38" s="37">
        <f t="shared" si="4"/>
        <v>4663.0956199828206</v>
      </c>
    </row>
    <row r="39" spans="1:7" x14ac:dyDescent="0.2">
      <c r="A39" s="33">
        <f t="shared" si="2"/>
        <v>4.3332231404958694</v>
      </c>
      <c r="B39" s="34">
        <f t="shared" si="0"/>
        <v>174.00000000000009</v>
      </c>
      <c r="C39" s="32">
        <f t="shared" si="5"/>
        <v>2.9000000000000012</v>
      </c>
      <c r="D39" s="35">
        <f t="shared" si="1"/>
        <v>1186.515816160595</v>
      </c>
      <c r="E39" s="36">
        <f t="shared" si="3"/>
        <v>923131.17076891311</v>
      </c>
      <c r="F39" s="37">
        <f t="shared" si="6"/>
        <v>10.596087818743273</v>
      </c>
      <c r="G39" s="37">
        <f t="shared" si="4"/>
        <v>4673.691707801564</v>
      </c>
    </row>
    <row r="40" spans="1:7" x14ac:dyDescent="0.2">
      <c r="A40" s="33">
        <f t="shared" si="2"/>
        <v>4.482644628099175</v>
      </c>
      <c r="B40" s="34">
        <f t="shared" si="0"/>
        <v>180.00000000000009</v>
      </c>
      <c r="C40" s="32">
        <f t="shared" si="5"/>
        <v>3.0000000000000013</v>
      </c>
      <c r="D40" s="35">
        <f t="shared" si="1"/>
        <v>1021.8346001483764</v>
      </c>
      <c r="E40" s="36">
        <f t="shared" si="3"/>
        <v>795006.14987122978</v>
      </c>
      <c r="F40" s="37">
        <f t="shared" si="6"/>
        <v>9.1254149434255094</v>
      </c>
      <c r="G40" s="37">
        <f t="shared" si="4"/>
        <v>4682.8171227449893</v>
      </c>
    </row>
    <row r="41" spans="1:7" x14ac:dyDescent="0.2">
      <c r="A41" s="33">
        <f t="shared" si="2"/>
        <v>4.6320661157024814</v>
      </c>
      <c r="B41" s="34">
        <f t="shared" si="0"/>
        <v>186.00000000000009</v>
      </c>
      <c r="C41" s="32">
        <f t="shared" si="5"/>
        <v>3.1000000000000014</v>
      </c>
      <c r="D41" s="35">
        <f t="shared" si="1"/>
        <v>880.0101404792955</v>
      </c>
      <c r="E41" s="36">
        <f t="shared" si="3"/>
        <v>684664.10662596195</v>
      </c>
      <c r="F41" s="37">
        <f t="shared" si="6"/>
        <v>7.858862564577163</v>
      </c>
      <c r="G41" s="37">
        <f t="shared" si="4"/>
        <v>4690.6759853095664</v>
      </c>
    </row>
    <row r="42" spans="1:7" x14ac:dyDescent="0.2">
      <c r="A42" s="33">
        <f t="shared" si="2"/>
        <v>4.7814876033057869</v>
      </c>
      <c r="B42" s="34">
        <f t="shared" si="0"/>
        <v>192.00000000000009</v>
      </c>
      <c r="C42" s="32">
        <f t="shared" si="5"/>
        <v>3.2000000000000015</v>
      </c>
      <c r="D42" s="35">
        <f t="shared" si="1"/>
        <v>757.87005767268022</v>
      </c>
      <c r="E42" s="36">
        <f t="shared" si="3"/>
        <v>589636.87133471121</v>
      </c>
      <c r="F42" s="37">
        <f t="shared" si="6"/>
        <v>6.7680999923635419</v>
      </c>
      <c r="G42" s="37">
        <f t="shared" si="4"/>
        <v>4697.4440853019296</v>
      </c>
    </row>
    <row r="43" spans="1:7" x14ac:dyDescent="0.2">
      <c r="A43" s="33">
        <f t="shared" si="2"/>
        <v>4.9309090909090925</v>
      </c>
      <c r="B43" s="34">
        <f t="shared" si="0"/>
        <v>198.00000000000009</v>
      </c>
      <c r="C43" s="32">
        <f t="shared" si="5"/>
        <v>3.3000000000000016</v>
      </c>
      <c r="D43" s="35">
        <f t="shared" si="1"/>
        <v>652.68227932460422</v>
      </c>
      <c r="E43" s="36">
        <f t="shared" si="3"/>
        <v>507798.84131902235</v>
      </c>
      <c r="F43" s="37">
        <f t="shared" si="6"/>
        <v>5.8287286652780397</v>
      </c>
      <c r="G43" s="37">
        <f t="shared" si="4"/>
        <v>4703.2728139672072</v>
      </c>
    </row>
    <row r="44" spans="1:7" x14ac:dyDescent="0.2">
      <c r="A44" s="33">
        <f t="shared" si="2"/>
        <v>5.080330578512398</v>
      </c>
      <c r="B44" s="34">
        <f t="shared" si="0"/>
        <v>204.00000000000011</v>
      </c>
      <c r="C44" s="32">
        <f t="shared" si="5"/>
        <v>3.4000000000000017</v>
      </c>
      <c r="D44" s="35">
        <f t="shared" si="1"/>
        <v>562.09392814981095</v>
      </c>
      <c r="E44" s="36">
        <f t="shared" si="3"/>
        <v>437319.43469078944</v>
      </c>
      <c r="F44" s="37">
        <f t="shared" si="6"/>
        <v>5.019736394522381</v>
      </c>
      <c r="G44" s="37">
        <f t="shared" si="4"/>
        <v>4708.2925503617298</v>
      </c>
    </row>
    <row r="45" spans="1:7" x14ac:dyDescent="0.2">
      <c r="A45" s="33">
        <f t="shared" si="2"/>
        <v>5.2297520661157053</v>
      </c>
      <c r="B45" s="34">
        <f t="shared" si="0"/>
        <v>210.00000000000011</v>
      </c>
      <c r="C45" s="32">
        <f t="shared" si="5"/>
        <v>3.5000000000000018</v>
      </c>
      <c r="D45" s="35">
        <f t="shared" si="1"/>
        <v>484.07869199364347</v>
      </c>
      <c r="E45" s="36">
        <f t="shared" si="3"/>
        <v>376622.14325164357</v>
      </c>
      <c r="F45" s="37">
        <f t="shared" si="6"/>
        <v>4.3230273559646921</v>
      </c>
      <c r="G45" s="37">
        <f t="shared" si="4"/>
        <v>4712.6155777176946</v>
      </c>
    </row>
    <row r="46" spans="1:7" x14ac:dyDescent="0.2">
      <c r="A46" s="33">
        <f t="shared" si="2"/>
        <v>5.37917355371901</v>
      </c>
      <c r="B46" s="34">
        <f t="shared" si="0"/>
        <v>216.00000000000011</v>
      </c>
      <c r="C46" s="32">
        <f t="shared" si="5"/>
        <v>3.6000000000000019</v>
      </c>
      <c r="D46" s="35">
        <f t="shared" si="1"/>
        <v>416.89149856787367</v>
      </c>
      <c r="E46" s="36">
        <f t="shared" si="3"/>
        <v>324349.26860214619</v>
      </c>
      <c r="F46" s="37">
        <f t="shared" si="6"/>
        <v>3.723017316369909</v>
      </c>
      <c r="G46" s="37">
        <f t="shared" si="4"/>
        <v>4716.3385950340644</v>
      </c>
    </row>
    <row r="47" spans="1:7" x14ac:dyDescent="0.2">
      <c r="A47" s="33">
        <f t="shared" si="2"/>
        <v>5.5285950413223164</v>
      </c>
      <c r="B47" s="34">
        <f t="shared" si="0"/>
        <v>222.00000000000011</v>
      </c>
      <c r="C47" s="32">
        <f t="shared" si="5"/>
        <v>3.700000000000002</v>
      </c>
      <c r="D47" s="35">
        <f t="shared" si="1"/>
        <v>359.02948105893762</v>
      </c>
      <c r="E47" s="36">
        <f t="shared" si="3"/>
        <v>279331.55266565207</v>
      </c>
      <c r="F47" s="37">
        <f t="shared" si="6"/>
        <v>3.2062850397802145</v>
      </c>
      <c r="G47" s="37">
        <f t="shared" si="4"/>
        <v>4719.544880073845</v>
      </c>
    </row>
    <row r="48" spans="1:7" x14ac:dyDescent="0.2">
      <c r="A48" s="33">
        <f t="shared" si="2"/>
        <v>5.6780165289256228</v>
      </c>
      <c r="B48" s="34">
        <f t="shared" si="0"/>
        <v>228.00000000000011</v>
      </c>
      <c r="C48" s="32">
        <f t="shared" si="5"/>
        <v>3.800000000000002</v>
      </c>
      <c r="D48" s="35">
        <f t="shared" si="1"/>
        <v>309.19836147357563</v>
      </c>
      <c r="E48" s="36">
        <f t="shared" si="3"/>
        <v>240562.02331170478</v>
      </c>
      <c r="F48" s="37">
        <f t="shared" si="6"/>
        <v>2.761272076580636</v>
      </c>
      <c r="G48" s="37">
        <f t="shared" si="4"/>
        <v>4722.306152150426</v>
      </c>
    </row>
    <row r="49" spans="1:7" x14ac:dyDescent="0.2">
      <c r="A49" s="33">
        <f t="shared" si="2"/>
        <v>5.8274380165289275</v>
      </c>
      <c r="B49" s="34">
        <f t="shared" si="0"/>
        <v>234.00000000000011</v>
      </c>
      <c r="C49" s="32">
        <f t="shared" si="5"/>
        <v>3.9000000000000021</v>
      </c>
      <c r="D49" s="35">
        <f t="shared" si="1"/>
        <v>266.28349977268294</v>
      </c>
      <c r="E49" s="36">
        <f t="shared" si="3"/>
        <v>207173.47004865311</v>
      </c>
      <c r="F49" s="37">
        <f t="shared" si="6"/>
        <v>2.3780242200258641</v>
      </c>
      <c r="G49" s="37">
        <f t="shared" si="4"/>
        <v>4724.6841763704515</v>
      </c>
    </row>
    <row r="50" spans="1:7" x14ac:dyDescent="0.2">
      <c r="A50" s="33">
        <f t="shared" si="2"/>
        <v>5.976859504132233</v>
      </c>
      <c r="B50" s="34">
        <f t="shared" si="0"/>
        <v>240.00000000000011</v>
      </c>
      <c r="C50" s="32">
        <f t="shared" si="5"/>
        <v>4.0000000000000018</v>
      </c>
      <c r="D50" s="35">
        <f t="shared" si="1"/>
        <v>229.32496121021057</v>
      </c>
      <c r="E50" s="36">
        <f t="shared" si="3"/>
        <v>178419.04595384168</v>
      </c>
      <c r="F50" s="37">
        <f t="shared" si="6"/>
        <v>2.047968847036743</v>
      </c>
      <c r="G50" s="37">
        <f t="shared" si="4"/>
        <v>4726.7321452174883</v>
      </c>
    </row>
    <row r="51" spans="1:7" x14ac:dyDescent="0.2">
      <c r="A51" s="33">
        <f t="shared" si="2"/>
        <v>6.1262809917355385</v>
      </c>
      <c r="B51" s="34">
        <f t="shared" si="0"/>
        <v>246.00000000000009</v>
      </c>
      <c r="C51" s="32">
        <f t="shared" si="5"/>
        <v>4.1000000000000014</v>
      </c>
      <c r="D51" s="35">
        <f t="shared" si="1"/>
        <v>197.49604417456882</v>
      </c>
      <c r="E51" s="36">
        <f t="shared" si="3"/>
        <v>153655.56193852058</v>
      </c>
      <c r="F51" s="37">
        <f t="shared" si="6"/>
        <v>1.7637231627470158</v>
      </c>
      <c r="G51" s="37">
        <f t="shared" si="4"/>
        <v>4728.4958683802352</v>
      </c>
    </row>
    <row r="52" spans="1:7" x14ac:dyDescent="0.2">
      <c r="A52" s="33">
        <f t="shared" si="2"/>
        <v>6.2757024793388441</v>
      </c>
      <c r="B52" s="34">
        <f t="shared" si="0"/>
        <v>252.00000000000006</v>
      </c>
      <c r="C52" s="32">
        <f t="shared" si="5"/>
        <v>4.2000000000000011</v>
      </c>
      <c r="D52" s="35">
        <f t="shared" si="1"/>
        <v>170.0847882357194</v>
      </c>
      <c r="E52" s="36">
        <f t="shared" si="3"/>
        <v>132329.09966770376</v>
      </c>
      <c r="F52" s="37">
        <f t="shared" si="6"/>
        <v>1.5189290595466403</v>
      </c>
      <c r="G52" s="37">
        <f t="shared" si="4"/>
        <v>4730.0147974397814</v>
      </c>
    </row>
    <row r="53" spans="1:7" x14ac:dyDescent="0.2">
      <c r="A53" s="33">
        <f t="shared" si="2"/>
        <v>6.4251239669421496</v>
      </c>
      <c r="B53" s="34">
        <f t="shared" si="0"/>
        <v>258.00000000000006</v>
      </c>
      <c r="C53" s="32">
        <f t="shared" si="5"/>
        <v>4.3000000000000007</v>
      </c>
      <c r="D53" s="35">
        <f t="shared" si="1"/>
        <v>146.47804876344264</v>
      </c>
      <c r="E53" s="36">
        <f t="shared" si="3"/>
        <v>113962.62131969834</v>
      </c>
      <c r="F53" s="37">
        <f t="shared" si="6"/>
        <v>1.3081108966907478</v>
      </c>
      <c r="G53" s="37">
        <f t="shared" si="4"/>
        <v>4731.3229083364722</v>
      </c>
    </row>
    <row r="54" spans="1:7" x14ac:dyDescent="0.2">
      <c r="A54" s="33">
        <f t="shared" si="2"/>
        <v>6.5745454545454534</v>
      </c>
      <c r="B54" s="34">
        <f t="shared" si="0"/>
        <v>264</v>
      </c>
      <c r="C54" s="32">
        <f t="shared" si="5"/>
        <v>4.4000000000000004</v>
      </c>
      <c r="D54" s="35">
        <f t="shared" si="1"/>
        <v>126.1477818922292</v>
      </c>
      <c r="E54" s="36">
        <f t="shared" si="3"/>
        <v>98145.299036041863</v>
      </c>
      <c r="F54" s="37">
        <f t="shared" si="6"/>
        <v>1.1265530192383095</v>
      </c>
      <c r="G54" s="37">
        <f t="shared" si="4"/>
        <v>4732.4494613557108</v>
      </c>
    </row>
    <row r="55" spans="1:7" x14ac:dyDescent="0.2">
      <c r="A55" s="33">
        <f t="shared" si="2"/>
        <v>6.7239669421487589</v>
      </c>
      <c r="B55" s="34">
        <f t="shared" si="0"/>
        <v>270</v>
      </c>
      <c r="C55" s="32">
        <f t="shared" si="5"/>
        <v>4.5</v>
      </c>
      <c r="D55" s="35">
        <f t="shared" si="1"/>
        <v>108.63923305005797</v>
      </c>
      <c r="E55" s="36">
        <f t="shared" si="3"/>
        <v>84523.325379223374</v>
      </c>
      <c r="F55" s="37">
        <f t="shared" si="6"/>
        <v>0.97019427662101798</v>
      </c>
      <c r="G55" s="37">
        <f t="shared" si="4"/>
        <v>4733.4196556323323</v>
      </c>
    </row>
    <row r="56" spans="1:7" x14ac:dyDescent="0.2">
      <c r="A56" s="33">
        <f t="shared" si="2"/>
        <v>6.8733884297520662</v>
      </c>
      <c r="B56" s="34">
        <f t="shared" si="0"/>
        <v>276</v>
      </c>
      <c r="C56" s="32">
        <f t="shared" si="5"/>
        <v>4.5999999999999996</v>
      </c>
      <c r="D56" s="35">
        <f t="shared" si="1"/>
        <v>93.560764847913902</v>
      </c>
      <c r="E56" s="36">
        <f t="shared" si="3"/>
        <v>72791.999243269864</v>
      </c>
      <c r="F56" s="37">
        <f t="shared" si="6"/>
        <v>0.83553718139657496</v>
      </c>
      <c r="G56" s="37">
        <f t="shared" si="4"/>
        <v>4734.2551928137291</v>
      </c>
    </row>
    <row r="57" spans="1:7" x14ac:dyDescent="0.2">
      <c r="A57" s="33">
        <f t="shared" si="2"/>
        <v>7.02280991735537</v>
      </c>
      <c r="B57" s="34">
        <f t="shared" si="0"/>
        <v>281.99999999999994</v>
      </c>
      <c r="C57" s="32">
        <f t="shared" si="5"/>
        <v>4.6999999999999993</v>
      </c>
      <c r="D57" s="35">
        <f t="shared" si="1"/>
        <v>80.575096796690801</v>
      </c>
      <c r="E57" s="36">
        <f t="shared" si="3"/>
        <v>62688.910192057687</v>
      </c>
      <c r="F57" s="37">
        <f t="shared" si="6"/>
        <v>0.71956967621737222</v>
      </c>
      <c r="G57" s="37">
        <f t="shared" si="4"/>
        <v>4734.9747624899464</v>
      </c>
    </row>
    <row r="58" spans="1:7" x14ac:dyDescent="0.2">
      <c r="A58" s="33">
        <f t="shared" si="2"/>
        <v>7.1722314049586755</v>
      </c>
      <c r="B58" s="34">
        <f t="shared" si="0"/>
        <v>287.99999999999994</v>
      </c>
      <c r="C58" s="32">
        <f t="shared" si="5"/>
        <v>4.7999999999999989</v>
      </c>
      <c r="D58" s="35">
        <f t="shared" si="1"/>
        <v>69.391760898380895</v>
      </c>
      <c r="E58" s="36">
        <f t="shared" si="3"/>
        <v>53988.068770225815</v>
      </c>
      <c r="F58" s="37">
        <f t="shared" si="6"/>
        <v>0.61969775907054203</v>
      </c>
      <c r="G58" s="37">
        <f t="shared" si="4"/>
        <v>4735.5944602490172</v>
      </c>
    </row>
    <row r="59" spans="1:7" x14ac:dyDescent="0.2">
      <c r="A59" s="33">
        <f t="shared" ref="A59:A70" si="7">C59*(C$7/F$7)*3600/43560</f>
        <v>7.321652892561981</v>
      </c>
      <c r="B59" s="34">
        <f t="shared" ref="B59:B70" si="8">C59*60</f>
        <v>293.99999999999989</v>
      </c>
      <c r="C59" s="32">
        <f t="shared" si="5"/>
        <v>4.8999999999999986</v>
      </c>
      <c r="D59" s="35">
        <f t="shared" ref="D59:D70" si="9">C$7*EXP(-A59)</f>
        <v>59.760604355560922</v>
      </c>
      <c r="E59" s="36">
        <f t="shared" ref="E59:E70" si="10">(D59+D58)/2*$C$12*3600</f>
        <v>46494.851491419053</v>
      </c>
      <c r="F59" s="37">
        <f t="shared" ref="F59:F70" si="11">(D58+D59)/2*(C59-C58)*(3600/43560)</f>
        <v>0.53368745972703036</v>
      </c>
      <c r="G59" s="37">
        <f t="shared" ref="G59:G70" si="12">G58+F59</f>
        <v>4736.1281477087441</v>
      </c>
    </row>
    <row r="60" spans="1:7" x14ac:dyDescent="0.2">
      <c r="A60" s="33">
        <f t="shared" si="7"/>
        <v>7.4710743801652866</v>
      </c>
      <c r="B60" s="34">
        <f t="shared" si="8"/>
        <v>299.99999999999989</v>
      </c>
      <c r="C60" s="32">
        <f t="shared" si="5"/>
        <v>4.9999999999999982</v>
      </c>
      <c r="D60" s="35">
        <f t="shared" si="9"/>
        <v>51.466194065486178</v>
      </c>
      <c r="E60" s="36">
        <f t="shared" si="10"/>
        <v>40041.647431576959</v>
      </c>
      <c r="F60" s="37">
        <f t="shared" si="11"/>
        <v>0.45961486950845754</v>
      </c>
      <c r="G60" s="37">
        <f t="shared" si="12"/>
        <v>4736.5877625782523</v>
      </c>
    </row>
    <row r="61" spans="1:7" x14ac:dyDescent="0.2">
      <c r="A61" s="33">
        <f t="shared" si="7"/>
        <v>7.6204958677685903</v>
      </c>
      <c r="B61" s="34">
        <f t="shared" si="8"/>
        <v>305.99999999999989</v>
      </c>
      <c r="C61" s="32">
        <f t="shared" si="5"/>
        <v>5.0999999999999979</v>
      </c>
      <c r="D61" s="35">
        <f t="shared" si="9"/>
        <v>44.32299773654838</v>
      </c>
      <c r="E61" s="36">
        <f t="shared" si="10"/>
        <v>34484.10904873244</v>
      </c>
      <c r="F61" s="37">
        <f t="shared" si="11"/>
        <v>0.39582310661997616</v>
      </c>
      <c r="G61" s="37">
        <f t="shared" si="12"/>
        <v>4736.9835856848722</v>
      </c>
    </row>
    <row r="62" spans="1:7" x14ac:dyDescent="0.2">
      <c r="A62" s="33">
        <f t="shared" si="7"/>
        <v>7.7699173553718959</v>
      </c>
      <c r="B62" s="34">
        <f t="shared" si="8"/>
        <v>311.99999999999983</v>
      </c>
      <c r="C62" s="32">
        <f t="shared" si="5"/>
        <v>5.1999999999999975</v>
      </c>
      <c r="D62" s="35">
        <f t="shared" si="9"/>
        <v>38.171233836610902</v>
      </c>
      <c r="E62" s="36">
        <f t="shared" si="10"/>
        <v>29697.923366337345</v>
      </c>
      <c r="F62" s="37">
        <f t="shared" si="11"/>
        <v>0.34088525443454132</v>
      </c>
      <c r="G62" s="37">
        <f t="shared" si="12"/>
        <v>4737.3244709393066</v>
      </c>
    </row>
    <row r="63" spans="1:7" x14ac:dyDescent="0.2">
      <c r="A63" s="33">
        <f t="shared" si="7"/>
        <v>7.9193388429752014</v>
      </c>
      <c r="B63" s="34">
        <f t="shared" si="8"/>
        <v>317.99999999999983</v>
      </c>
      <c r="C63" s="32">
        <f t="shared" si="5"/>
        <v>5.2999999999999972</v>
      </c>
      <c r="D63" s="35">
        <f t="shared" si="9"/>
        <v>32.873297543405172</v>
      </c>
      <c r="E63" s="36">
        <f t="shared" si="10"/>
        <v>25576.031296805791</v>
      </c>
      <c r="F63" s="37">
        <f t="shared" si="11"/>
        <v>0.29357244371907371</v>
      </c>
      <c r="G63" s="37">
        <f t="shared" si="12"/>
        <v>4737.6180433830259</v>
      </c>
    </row>
    <row r="64" spans="1:7" x14ac:dyDescent="0.2">
      <c r="A64" s="33">
        <f t="shared" si="7"/>
        <v>8.0687603305785078</v>
      </c>
      <c r="B64" s="34">
        <f t="shared" si="8"/>
        <v>323.99999999999983</v>
      </c>
      <c r="C64" s="32">
        <f t="shared" si="5"/>
        <v>5.3999999999999968</v>
      </c>
      <c r="D64" s="35">
        <f t="shared" si="9"/>
        <v>28.310682751385631</v>
      </c>
      <c r="E64" s="36">
        <f t="shared" si="10"/>
        <v>22026.232906124689</v>
      </c>
      <c r="F64" s="37">
        <f t="shared" si="11"/>
        <v>0.25282636485450655</v>
      </c>
      <c r="G64" s="37">
        <f t="shared" si="12"/>
        <v>4737.8708697478805</v>
      </c>
    </row>
    <row r="65" spans="1:7" x14ac:dyDescent="0.2">
      <c r="A65" s="33">
        <f t="shared" si="7"/>
        <v>8.2181818181818116</v>
      </c>
      <c r="B65" s="34">
        <f t="shared" si="8"/>
        <v>329.99999999999977</v>
      </c>
      <c r="C65" s="32">
        <f t="shared" si="5"/>
        <v>5.4999999999999964</v>
      </c>
      <c r="D65" s="35">
        <f t="shared" si="9"/>
        <v>24.381331285409686</v>
      </c>
      <c r="E65" s="36">
        <f t="shared" si="10"/>
        <v>18969.125053246313</v>
      </c>
      <c r="F65" s="37">
        <f t="shared" si="11"/>
        <v>0.2177355951933683</v>
      </c>
      <c r="G65" s="37">
        <f t="shared" si="12"/>
        <v>4738.0886053430741</v>
      </c>
    </row>
    <row r="66" spans="1:7" x14ac:dyDescent="0.2">
      <c r="A66" s="33">
        <f t="shared" si="7"/>
        <v>8.3676033057851171</v>
      </c>
      <c r="B66" s="34">
        <f t="shared" si="8"/>
        <v>335.99999999999977</v>
      </c>
      <c r="C66" s="32">
        <f t="shared" si="5"/>
        <v>5.5999999999999961</v>
      </c>
      <c r="D66" s="35">
        <f t="shared" si="9"/>
        <v>20.997350027519257</v>
      </c>
      <c r="E66" s="36">
        <f t="shared" si="10"/>
        <v>16336.325272654423</v>
      </c>
      <c r="F66" s="37">
        <f t="shared" si="11"/>
        <v>0.18751521203689581</v>
      </c>
      <c r="G66" s="37">
        <f t="shared" si="12"/>
        <v>4738.2761205551105</v>
      </c>
    </row>
    <row r="67" spans="1:7" x14ac:dyDescent="0.2">
      <c r="A67" s="33">
        <f t="shared" si="7"/>
        <v>8.5170247933884227</v>
      </c>
      <c r="B67" s="34">
        <f t="shared" si="8"/>
        <v>341.99999999999977</v>
      </c>
      <c r="C67" s="32">
        <f t="shared" si="5"/>
        <v>5.6999999999999957</v>
      </c>
      <c r="D67" s="35">
        <f t="shared" si="9"/>
        <v>18.083044892712657</v>
      </c>
      <c r="E67" s="36">
        <f t="shared" si="10"/>
        <v>14068.942171283488</v>
      </c>
      <c r="F67" s="37">
        <f t="shared" si="11"/>
        <v>0.1614892352075693</v>
      </c>
      <c r="G67" s="37">
        <f t="shared" si="12"/>
        <v>4738.4376097903178</v>
      </c>
    </row>
    <row r="68" spans="1:7" x14ac:dyDescent="0.2">
      <c r="A68" s="33">
        <f t="shared" si="7"/>
        <v>8.6664462809917282</v>
      </c>
      <c r="B68" s="34">
        <f t="shared" si="8"/>
        <v>347.99999999999972</v>
      </c>
      <c r="C68" s="32">
        <f t="shared" si="5"/>
        <v>5.7999999999999954</v>
      </c>
      <c r="D68" s="35">
        <f t="shared" si="9"/>
        <v>15.573227676982938</v>
      </c>
      <c r="E68" s="36">
        <f t="shared" si="10"/>
        <v>12116.258125090415</v>
      </c>
      <c r="F68" s="37">
        <f t="shared" si="11"/>
        <v>0.13907550648634492</v>
      </c>
      <c r="G68" s="37">
        <f t="shared" si="12"/>
        <v>4738.5766852968045</v>
      </c>
    </row>
    <row r="69" spans="1:7" x14ac:dyDescent="0.2">
      <c r="A69" s="33">
        <f t="shared" si="7"/>
        <v>8.815867768595032</v>
      </c>
      <c r="B69" s="34">
        <f t="shared" si="8"/>
        <v>353.99999999999972</v>
      </c>
      <c r="C69" s="32">
        <f t="shared" si="5"/>
        <v>5.899999999999995</v>
      </c>
      <c r="D69" s="35">
        <f t="shared" si="9"/>
        <v>13.411757904603993</v>
      </c>
      <c r="E69" s="36">
        <f t="shared" si="10"/>
        <v>10434.594809371296</v>
      </c>
      <c r="F69" s="37">
        <f t="shared" si="11"/>
        <v>0.11977266769250756</v>
      </c>
      <c r="G69" s="37">
        <f t="shared" si="12"/>
        <v>4738.6964579644973</v>
      </c>
    </row>
    <row r="70" spans="1:7" x14ac:dyDescent="0.2">
      <c r="A70" s="33">
        <f t="shared" si="7"/>
        <v>8.9652892561983375</v>
      </c>
      <c r="B70" s="34">
        <f t="shared" si="8"/>
        <v>359.99999999999966</v>
      </c>
      <c r="C70" s="32">
        <f t="shared" si="5"/>
        <v>5.9999999999999947</v>
      </c>
      <c r="D70" s="35">
        <f t="shared" si="9"/>
        <v>11.550287058190319</v>
      </c>
      <c r="E70" s="36">
        <f t="shared" si="10"/>
        <v>8986.3361866059531</v>
      </c>
      <c r="F70" s="37">
        <f t="shared" si="11"/>
        <v>0.10314894612724887</v>
      </c>
      <c r="G70" s="37">
        <f t="shared" si="12"/>
        <v>4738.7996069106248</v>
      </c>
    </row>
  </sheetData>
  <sheetProtection sheet="1" objects="1" scenarios="1"/>
  <mergeCells count="3">
    <mergeCell ref="A1:E1"/>
    <mergeCell ref="A2:E2"/>
    <mergeCell ref="A3:F3"/>
  </mergeCells>
  <phoneticPr fontId="3" type="noConversion"/>
  <conditionalFormatting sqref="G10:G70">
    <cfRule type="cellIs" dxfId="0" priority="1" stopIfTrue="1" operator="greaterThan">
      <formula>$F$7</formula>
    </cfRule>
  </conditionalFormatting>
  <pageMargins left="0.75" right="0.75" top="1" bottom="1" header="0.5" footer="0.5"/>
  <pageSetup scale="55" orientation="portrait" r:id="rId1"/>
  <headerFooter alignWithMargins="0">
    <oddHeader>&amp;C&amp;"-,Bold"&amp;12TR-66 Curvilinear Dam Breach Hydrograph
&amp;"-,Regular"&amp;9&amp;Z&amp;F - &amp;A</oddHeader>
    <oddFooter>&amp;L&amp;"-,Regular"Prepared by USDA-NRCS &amp;C&amp;"-,Regular"&amp;D - &amp;T&amp;R&amp;"-,Regular"Page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L35"/>
  <sheetViews>
    <sheetView zoomScale="70" zoomScaleNormal="70" workbookViewId="0">
      <selection activeCell="G33" sqref="G33"/>
    </sheetView>
  </sheetViews>
  <sheetFormatPr defaultRowHeight="15.75" x14ac:dyDescent="0.25"/>
  <cols>
    <col min="1" max="16384" width="9" style="39"/>
  </cols>
  <sheetData>
    <row r="1" spans="1:12" ht="26.25" x14ac:dyDescent="0.4">
      <c r="A1" s="133" t="s">
        <v>68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6" spans="1:12" ht="19.5" x14ac:dyDescent="0.35">
      <c r="B6" s="79" t="s">
        <v>69</v>
      </c>
      <c r="D6" s="39" t="s">
        <v>72</v>
      </c>
    </row>
    <row r="12" spans="1:12" ht="18.75" x14ac:dyDescent="0.35">
      <c r="H12" s="39" t="s">
        <v>70</v>
      </c>
    </row>
    <row r="13" spans="1:12" x14ac:dyDescent="0.25">
      <c r="H13" s="39" t="s">
        <v>36</v>
      </c>
    </row>
    <row r="23" spans="4:11" x14ac:dyDescent="0.25">
      <c r="D23" s="40"/>
      <c r="E23" s="80"/>
      <c r="I23" s="80"/>
    </row>
    <row r="28" spans="4:11" x14ac:dyDescent="0.25">
      <c r="G28" s="80" t="s">
        <v>73</v>
      </c>
      <c r="I28" s="80" t="s">
        <v>74</v>
      </c>
    </row>
    <row r="29" spans="4:11" x14ac:dyDescent="0.25">
      <c r="E29" s="79"/>
      <c r="K29" s="79"/>
    </row>
    <row r="30" spans="4:11" ht="18.75" x14ac:dyDescent="0.35">
      <c r="G30" s="39" t="s">
        <v>105</v>
      </c>
    </row>
    <row r="31" spans="4:11" x14ac:dyDescent="0.25">
      <c r="E31" s="79"/>
    </row>
    <row r="33" spans="5:12" x14ac:dyDescent="0.25">
      <c r="E33" s="79"/>
      <c r="K33" s="79"/>
    </row>
    <row r="34" spans="5:12" x14ac:dyDescent="0.25">
      <c r="K34" s="81" t="s">
        <v>75</v>
      </c>
    </row>
    <row r="35" spans="5:12" ht="18.75" x14ac:dyDescent="0.35">
      <c r="J35" s="40" t="s">
        <v>100</v>
      </c>
      <c r="L35" s="39" t="s">
        <v>106</v>
      </c>
    </row>
  </sheetData>
  <sheetProtection sheet="1" objects="1" scenarios="1" selectLockedCells="1" selectUnlockedCells="1"/>
  <mergeCells count="1">
    <mergeCell ref="A1:L1"/>
  </mergeCells>
  <phoneticPr fontId="3" type="noConversion"/>
  <pageMargins left="0.75" right="0.75" top="1" bottom="1" header="0.5" footer="0.5"/>
  <pageSetup scale="70" orientation="portrait" r:id="rId1"/>
  <headerFooter alignWithMargins="0">
    <oddHeader>&amp;C&amp;"-,Bold"&amp;12TR-60 Peak Breach Discharge Flow Chart&amp;"-,Regular"&amp;10
&amp;Z&amp;F - &amp;A</oddHeader>
    <oddFooter>&amp;C&amp;"Calibri,Regular"Page &amp;P&amp;R&amp;"Calibri,Regular"&amp;D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D50"/>
  <sheetViews>
    <sheetView zoomScale="130" zoomScaleNormal="130" workbookViewId="0">
      <pane ySplit="1" topLeftCell="A2" activePane="bottomLeft" state="frozen"/>
      <selection pane="bottomLeft" activeCell="D15" sqref="D15"/>
    </sheetView>
  </sheetViews>
  <sheetFormatPr defaultRowHeight="12.75" x14ac:dyDescent="0.2"/>
  <cols>
    <col min="1" max="1" width="9" style="104"/>
    <col min="2" max="2" width="9" style="2"/>
    <col min="3" max="3" width="9" style="105"/>
    <col min="4" max="4" width="54.25" style="8" customWidth="1"/>
    <col min="5" max="16384" width="9" style="2"/>
  </cols>
  <sheetData>
    <row r="1" spans="1:4" x14ac:dyDescent="0.2">
      <c r="A1" s="99" t="s">
        <v>32</v>
      </c>
      <c r="B1" s="16" t="s">
        <v>16</v>
      </c>
      <c r="C1" s="16" t="s">
        <v>96</v>
      </c>
      <c r="D1" s="17" t="s">
        <v>33</v>
      </c>
    </row>
    <row r="2" spans="1:4" s="18" customFormat="1" ht="25.5" x14ac:dyDescent="0.3">
      <c r="A2" s="103">
        <v>2</v>
      </c>
      <c r="B2" s="19">
        <v>40274</v>
      </c>
      <c r="C2" s="20" t="s">
        <v>34</v>
      </c>
      <c r="D2" s="14" t="s">
        <v>40</v>
      </c>
    </row>
    <row r="3" spans="1:4" s="18" customFormat="1" x14ac:dyDescent="0.3">
      <c r="A3" s="103">
        <v>2.1</v>
      </c>
      <c r="B3" s="21">
        <v>40282</v>
      </c>
      <c r="C3" s="20" t="s">
        <v>34</v>
      </c>
      <c r="D3" s="14" t="s">
        <v>45</v>
      </c>
    </row>
    <row r="4" spans="1:4" s="18" customFormat="1" ht="25.5" x14ac:dyDescent="0.3">
      <c r="A4" s="103">
        <v>2.2000000000000002</v>
      </c>
      <c r="B4" s="21">
        <v>40322</v>
      </c>
      <c r="C4" s="20" t="s">
        <v>34</v>
      </c>
      <c r="D4" s="14" t="s">
        <v>50</v>
      </c>
    </row>
    <row r="5" spans="1:4" s="18" customFormat="1" ht="38.25" x14ac:dyDescent="0.3">
      <c r="A5" s="103">
        <v>2.2999999999999998</v>
      </c>
      <c r="B5" s="21">
        <v>40379</v>
      </c>
      <c r="C5" s="20" t="s">
        <v>34</v>
      </c>
      <c r="D5" s="14" t="s">
        <v>51</v>
      </c>
    </row>
    <row r="6" spans="1:4" s="18" customFormat="1" ht="51" x14ac:dyDescent="0.3">
      <c r="A6" s="103">
        <v>2.4</v>
      </c>
      <c r="B6" s="21">
        <v>40385</v>
      </c>
      <c r="C6" s="20" t="s">
        <v>34</v>
      </c>
      <c r="D6" s="14" t="s">
        <v>52</v>
      </c>
    </row>
    <row r="7" spans="1:4" s="18" customFormat="1" ht="38.25" x14ac:dyDescent="0.3">
      <c r="A7" s="103">
        <v>2.5</v>
      </c>
      <c r="B7" s="21">
        <v>40668</v>
      </c>
      <c r="C7" s="20" t="s">
        <v>34</v>
      </c>
      <c r="D7" s="14" t="s">
        <v>53</v>
      </c>
    </row>
    <row r="8" spans="1:4" s="18" customFormat="1" ht="38.25" x14ac:dyDescent="0.3">
      <c r="A8" s="103">
        <v>2.6</v>
      </c>
      <c r="B8" s="21">
        <v>40717</v>
      </c>
      <c r="C8" s="20" t="s">
        <v>34</v>
      </c>
      <c r="D8" s="14" t="s">
        <v>54</v>
      </c>
    </row>
    <row r="9" spans="1:4" s="18" customFormat="1" ht="25.5" x14ac:dyDescent="0.3">
      <c r="A9" s="103">
        <v>2.7</v>
      </c>
      <c r="B9" s="21">
        <v>40998</v>
      </c>
      <c r="C9" s="20" t="s">
        <v>34</v>
      </c>
      <c r="D9" s="14" t="s">
        <v>55</v>
      </c>
    </row>
    <row r="10" spans="1:4" s="18" customFormat="1" ht="25.5" x14ac:dyDescent="0.3">
      <c r="A10" s="103">
        <v>2.8</v>
      </c>
      <c r="B10" s="21">
        <v>41341</v>
      </c>
      <c r="C10" s="20" t="s">
        <v>34</v>
      </c>
      <c r="D10" s="77" t="s">
        <v>67</v>
      </c>
    </row>
    <row r="11" spans="1:4" s="18" customFormat="1" x14ac:dyDescent="0.3">
      <c r="A11" s="103">
        <v>2.9</v>
      </c>
      <c r="B11" s="21">
        <v>42409</v>
      </c>
      <c r="C11" s="20" t="s">
        <v>34</v>
      </c>
      <c r="D11" s="14" t="s">
        <v>71</v>
      </c>
    </row>
    <row r="12" spans="1:4" s="18" customFormat="1" ht="27" x14ac:dyDescent="0.3">
      <c r="A12" s="103">
        <v>3</v>
      </c>
      <c r="B12" s="21">
        <v>42410</v>
      </c>
      <c r="C12" s="20" t="s">
        <v>34</v>
      </c>
      <c r="D12" s="14" t="s">
        <v>92</v>
      </c>
    </row>
    <row r="13" spans="1:4" s="18" customFormat="1" ht="38.25" x14ac:dyDescent="0.3">
      <c r="A13" s="103">
        <v>4</v>
      </c>
      <c r="B13" s="21">
        <v>42663</v>
      </c>
      <c r="C13" s="20" t="s">
        <v>34</v>
      </c>
      <c r="D13" s="14" t="s">
        <v>101</v>
      </c>
    </row>
    <row r="14" spans="1:4" s="18" customFormat="1" ht="63.75" x14ac:dyDescent="0.3">
      <c r="A14" s="103">
        <v>4.0999999999999996</v>
      </c>
      <c r="B14" s="21">
        <v>42677</v>
      </c>
      <c r="C14" s="20" t="s">
        <v>34</v>
      </c>
      <c r="D14" s="14" t="s">
        <v>129</v>
      </c>
    </row>
    <row r="15" spans="1:4" s="18" customFormat="1" ht="25.5" x14ac:dyDescent="0.3">
      <c r="A15" s="103">
        <v>4.2</v>
      </c>
      <c r="B15" s="21">
        <v>42692</v>
      </c>
      <c r="C15" s="20" t="s">
        <v>34</v>
      </c>
      <c r="D15" s="14" t="s">
        <v>128</v>
      </c>
    </row>
    <row r="16" spans="1:4" s="18" customFormat="1" x14ac:dyDescent="0.3">
      <c r="A16" s="103"/>
      <c r="C16" s="20"/>
      <c r="D16" s="14"/>
    </row>
    <row r="17" spans="1:4" s="18" customFormat="1" x14ac:dyDescent="0.3">
      <c r="A17" s="103"/>
      <c r="C17" s="20"/>
      <c r="D17" s="14"/>
    </row>
    <row r="18" spans="1:4" s="18" customFormat="1" x14ac:dyDescent="0.3">
      <c r="A18" s="103"/>
      <c r="C18" s="20"/>
      <c r="D18" s="14"/>
    </row>
    <row r="19" spans="1:4" s="18" customFormat="1" x14ac:dyDescent="0.3">
      <c r="A19" s="103"/>
      <c r="C19" s="20"/>
      <c r="D19" s="14"/>
    </row>
    <row r="20" spans="1:4" s="18" customFormat="1" x14ac:dyDescent="0.3">
      <c r="A20" s="103"/>
      <c r="C20" s="20"/>
      <c r="D20" s="14"/>
    </row>
    <row r="21" spans="1:4" s="18" customFormat="1" x14ac:dyDescent="0.3">
      <c r="A21" s="103"/>
      <c r="C21" s="20"/>
      <c r="D21" s="14"/>
    </row>
    <row r="22" spans="1:4" s="18" customFormat="1" x14ac:dyDescent="0.3">
      <c r="A22" s="103"/>
      <c r="C22" s="20"/>
      <c r="D22" s="14"/>
    </row>
    <row r="23" spans="1:4" s="18" customFormat="1" x14ac:dyDescent="0.3">
      <c r="A23" s="103"/>
      <c r="C23" s="20"/>
      <c r="D23" s="14"/>
    </row>
    <row r="24" spans="1:4" s="18" customFormat="1" x14ac:dyDescent="0.3">
      <c r="A24" s="103"/>
      <c r="C24" s="20"/>
      <c r="D24" s="14"/>
    </row>
    <row r="25" spans="1:4" s="18" customFormat="1" x14ac:dyDescent="0.3">
      <c r="A25" s="103"/>
      <c r="C25" s="20"/>
      <c r="D25" s="14"/>
    </row>
    <row r="26" spans="1:4" s="18" customFormat="1" x14ac:dyDescent="0.3">
      <c r="A26" s="103"/>
      <c r="C26" s="20"/>
      <c r="D26" s="14"/>
    </row>
    <row r="27" spans="1:4" s="18" customFormat="1" x14ac:dyDescent="0.3">
      <c r="A27" s="103"/>
      <c r="C27" s="20"/>
      <c r="D27" s="14"/>
    </row>
    <row r="28" spans="1:4" s="18" customFormat="1" x14ac:dyDescent="0.3">
      <c r="A28" s="103"/>
      <c r="C28" s="20"/>
      <c r="D28" s="14"/>
    </row>
    <row r="29" spans="1:4" s="18" customFormat="1" x14ac:dyDescent="0.3">
      <c r="A29" s="103"/>
      <c r="C29" s="20"/>
      <c r="D29" s="14"/>
    </row>
    <row r="30" spans="1:4" s="18" customFormat="1" x14ac:dyDescent="0.3">
      <c r="A30" s="103"/>
      <c r="C30" s="20"/>
      <c r="D30" s="14"/>
    </row>
    <row r="31" spans="1:4" s="18" customFormat="1" x14ac:dyDescent="0.3">
      <c r="A31" s="103"/>
      <c r="C31" s="20"/>
      <c r="D31" s="14"/>
    </row>
    <row r="32" spans="1:4" s="18" customFormat="1" x14ac:dyDescent="0.3">
      <c r="A32" s="103"/>
      <c r="C32" s="20"/>
      <c r="D32" s="14"/>
    </row>
    <row r="33" spans="1:4" s="18" customFormat="1" x14ac:dyDescent="0.3">
      <c r="A33" s="103"/>
      <c r="C33" s="20"/>
      <c r="D33" s="14"/>
    </row>
    <row r="34" spans="1:4" s="18" customFormat="1" x14ac:dyDescent="0.3">
      <c r="A34" s="103"/>
      <c r="C34" s="20"/>
      <c r="D34" s="14"/>
    </row>
    <row r="35" spans="1:4" s="18" customFormat="1" x14ac:dyDescent="0.3">
      <c r="A35" s="103"/>
      <c r="C35" s="20"/>
      <c r="D35" s="14"/>
    </row>
    <row r="36" spans="1:4" s="18" customFormat="1" x14ac:dyDescent="0.3">
      <c r="A36" s="103"/>
      <c r="C36" s="20"/>
      <c r="D36" s="14"/>
    </row>
    <row r="37" spans="1:4" s="18" customFormat="1" x14ac:dyDescent="0.3">
      <c r="A37" s="103"/>
      <c r="C37" s="20"/>
      <c r="D37" s="14"/>
    </row>
    <row r="38" spans="1:4" s="18" customFormat="1" x14ac:dyDescent="0.3">
      <c r="A38" s="103"/>
      <c r="C38" s="20"/>
      <c r="D38" s="14"/>
    </row>
    <row r="39" spans="1:4" s="18" customFormat="1" x14ac:dyDescent="0.3">
      <c r="A39" s="103"/>
      <c r="C39" s="20"/>
      <c r="D39" s="14"/>
    </row>
    <row r="40" spans="1:4" s="18" customFormat="1" x14ac:dyDescent="0.3">
      <c r="A40" s="103"/>
      <c r="C40" s="20"/>
      <c r="D40" s="14"/>
    </row>
    <row r="41" spans="1:4" s="18" customFormat="1" x14ac:dyDescent="0.3">
      <c r="A41" s="103"/>
      <c r="C41" s="20"/>
      <c r="D41" s="14"/>
    </row>
    <row r="42" spans="1:4" s="18" customFormat="1" x14ac:dyDescent="0.3">
      <c r="A42" s="103"/>
      <c r="C42" s="20"/>
      <c r="D42" s="14"/>
    </row>
    <row r="43" spans="1:4" s="18" customFormat="1" x14ac:dyDescent="0.3">
      <c r="A43" s="103"/>
      <c r="C43" s="20"/>
      <c r="D43" s="14"/>
    </row>
    <row r="44" spans="1:4" s="18" customFormat="1" x14ac:dyDescent="0.3">
      <c r="A44" s="103"/>
      <c r="C44" s="20"/>
      <c r="D44" s="14"/>
    </row>
    <row r="45" spans="1:4" s="18" customFormat="1" x14ac:dyDescent="0.3">
      <c r="A45" s="103"/>
      <c r="C45" s="20"/>
      <c r="D45" s="14"/>
    </row>
    <row r="46" spans="1:4" s="18" customFormat="1" x14ac:dyDescent="0.3">
      <c r="A46" s="103"/>
      <c r="C46" s="20"/>
      <c r="D46" s="14"/>
    </row>
    <row r="47" spans="1:4" s="18" customFormat="1" x14ac:dyDescent="0.3">
      <c r="A47" s="103"/>
      <c r="C47" s="20"/>
      <c r="D47" s="14"/>
    </row>
    <row r="48" spans="1:4" s="18" customFormat="1" x14ac:dyDescent="0.3">
      <c r="A48" s="103"/>
      <c r="C48" s="20"/>
      <c r="D48" s="14"/>
    </row>
    <row r="49" spans="1:4" s="18" customFormat="1" x14ac:dyDescent="0.3">
      <c r="A49" s="103"/>
      <c r="C49" s="20"/>
      <c r="D49" s="14"/>
    </row>
    <row r="50" spans="1:4" s="18" customFormat="1" x14ac:dyDescent="0.3">
      <c r="A50" s="103"/>
      <c r="C50" s="20"/>
      <c r="D50" s="14"/>
    </row>
  </sheetData>
  <sheetProtection sheet="1" objects="1" scenarios="1"/>
  <pageMargins left="0.7" right="0.7" top="0.75" bottom="0.75" header="0.3" footer="0.3"/>
  <pageSetup orientation="portrait" r:id="rId1"/>
  <headerFooter>
    <oddHeader>&amp;C&amp;"-,Regular"&amp;12&amp;F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17</vt:i4>
      </vt:variant>
    </vt:vector>
  </HeadingPairs>
  <TitlesOfParts>
    <vt:vector size="22" baseType="lpstr">
      <vt:lpstr>Input</vt:lpstr>
      <vt:lpstr>TR-60 Breach Qmax</vt:lpstr>
      <vt:lpstr>Breach Hydrograph</vt:lpstr>
      <vt:lpstr>Flow Chart</vt:lpstr>
      <vt:lpstr>VersionNotes</vt:lpstr>
      <vt:lpstr>A</vt:lpstr>
      <vt:lpstr>Br</vt:lpstr>
      <vt:lpstr>Case1</vt:lpstr>
      <vt:lpstr>Case2</vt:lpstr>
      <vt:lpstr>Case3</vt:lpstr>
      <vt:lpstr>Case4</vt:lpstr>
      <vt:lpstr>HW</vt:lpstr>
      <vt:lpstr>L</vt:lpstr>
      <vt:lpstr>LowBnd</vt:lpstr>
      <vt:lpstr>'Flow Chart'!Print_Area</vt:lpstr>
      <vt:lpstr>Input!Print_Area</vt:lpstr>
      <vt:lpstr>'TR-60 Breach Qmax'!Print_Area</vt:lpstr>
      <vt:lpstr>Qmax</vt:lpstr>
      <vt:lpstr>T</vt:lpstr>
      <vt:lpstr>UpBnd</vt:lpstr>
      <vt:lpstr>Value</vt:lpstr>
      <vt:lpstr>Vs</vt:lpstr>
    </vt:vector>
  </TitlesOfParts>
  <Company>USDA-NRCS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TR-60 Breach Qmax and Hydrograph</dc:title>
  <dc:subject>Hydrology, Dams, Breach</dc:subject>
  <dc:creator>Visser, Karl - NRCS, Fort Worth, TX</dc:creator>
  <dc:description>Add'l formatting - Karl Visser, PE_x000d_
USDA-NRCS NDCSMC May 2008</dc:description>
  <cp:lastModifiedBy>Karl</cp:lastModifiedBy>
  <cp:lastPrinted>2016-02-11T16:40:19Z</cp:lastPrinted>
  <dcterms:created xsi:type="dcterms:W3CDTF">2000-06-20T18:14:46Z</dcterms:created>
  <dcterms:modified xsi:type="dcterms:W3CDTF">2021-08-31T21:22:52Z</dcterms:modified>
</cp:coreProperties>
</file>