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codeName="{526614CA-9299-8FEA-EDB2-C8A7E91AD4E6}"/>
  <workbookPr codeName="ThisWorkbook" defaultThemeVersion="124226"/>
  <mc:AlternateContent xmlns:mc="http://schemas.openxmlformats.org/markup-compatibility/2006">
    <mc:Choice Requires="x15">
      <x15ac:absPath xmlns:x15ac="http://schemas.microsoft.com/office/spreadsheetml/2010/11/ac" url="S:\NRCS\ENG\IWM\"/>
    </mc:Choice>
  </mc:AlternateContent>
  <xr:revisionPtr revIDLastSave="0" documentId="10_ncr:100000_{04D33EF5-401E-43A8-9FC6-584D3C73E4D9}" xr6:coauthVersionLast="31" xr6:coauthVersionMax="31" xr10:uidLastSave="{00000000-0000-0000-0000-000000000000}"/>
  <bookViews>
    <workbookView xWindow="450" yWindow="0" windowWidth="26130" windowHeight="15330" tabRatio="872" xr2:uid="{00000000-000D-0000-FFFF-FFFF00000000}"/>
  </bookViews>
  <sheets>
    <sheet name="Instructions" sheetId="19" r:id="rId1"/>
    <sheet name="General Information" sheetId="7" r:id="rId2"/>
    <sheet name="Net Irrigation Calculator" sheetId="13" r:id="rId3"/>
    <sheet name="Moisture Sensors (tensiometer)" sheetId="18" r:id="rId4"/>
    <sheet name="Feel and Appearance" sheetId="8" r:id="rId5"/>
    <sheet name="NDAWN" sheetId="25" r:id="rId6"/>
    <sheet name="IWM Evaluation" sheetId="1" r:id="rId7"/>
    <sheet name="Certification" sheetId="21" r:id="rId8"/>
    <sheet name="NEH" sheetId="23" r:id="rId9"/>
  </sheets>
  <definedNames>
    <definedName name="BeginDate">'IWM Evaluation'!$V$111</definedName>
    <definedName name="EndDate">'IWM Evaluation'!$V$112</definedName>
    <definedName name="FieldCap">'IWM Evaluation'!$D$9</definedName>
    <definedName name="FieldCapa">'IWM Evaluation'!$V$115</definedName>
    <definedName name="FieldCapb">'IWM Evaluation'!$V$116</definedName>
    <definedName name="MAD">'IWM Evaluation'!$E$12</definedName>
    <definedName name="MADa">'IWM Evaluation'!$V$113</definedName>
    <definedName name="MADb">'IWM Evaluation'!$V$114</definedName>
    <definedName name="_xlnm.Print_Area" localSheetId="7">Certification!$A$1:$C$64</definedName>
    <definedName name="_xlnm.Print_Area" localSheetId="4">'Feel and Appearance'!$A$1:$B$39</definedName>
    <definedName name="_xlnm.Print_Area" localSheetId="1">'General Information'!$A$1:$G$48</definedName>
    <definedName name="_xlnm.Print_Area" localSheetId="0">Instructions!$A$1:$T$69</definedName>
    <definedName name="_xlnm.Print_Area" localSheetId="6">'IWM Evaluation'!$A$1:$AE$100</definedName>
    <definedName name="_xlnm.Print_Area" localSheetId="3">'Moisture Sensors (tensiometer)'!$A$5:$R$46</definedName>
    <definedName name="_xlnm.Print_Area" localSheetId="8">NEH!$B$1:$N$45</definedName>
    <definedName name="_xlnm.Print_Area" localSheetId="2">'Net Irrigation Calculator'!$A$1:$G$60</definedName>
  </definedNames>
  <calcPr calcId="179017" fullPrecision="0"/>
</workbook>
</file>

<file path=xl/calcChain.xml><?xml version="1.0" encoding="utf-8"?>
<calcChain xmlns="http://schemas.openxmlformats.org/spreadsheetml/2006/main">
  <c r="B31" i="21" l="1"/>
  <c r="B29" i="21"/>
  <c r="N15" i="1" l="1"/>
  <c r="G15" i="1"/>
  <c r="N98" i="1"/>
  <c r="G98" i="1"/>
  <c r="M98" i="1"/>
  <c r="F98" i="1"/>
  <c r="L98" i="1"/>
  <c r="E98" i="1"/>
  <c r="K98" i="1"/>
  <c r="D98" i="1"/>
  <c r="N97" i="1"/>
  <c r="G97" i="1"/>
  <c r="M97" i="1"/>
  <c r="F97" i="1"/>
  <c r="L97" i="1"/>
  <c r="E97" i="1"/>
  <c r="K97" i="1"/>
  <c r="D97" i="1"/>
  <c r="N96" i="1"/>
  <c r="G96" i="1"/>
  <c r="M96" i="1"/>
  <c r="F96" i="1"/>
  <c r="L96" i="1"/>
  <c r="E96" i="1"/>
  <c r="K96" i="1"/>
  <c r="D96" i="1"/>
  <c r="N95" i="1"/>
  <c r="G95" i="1"/>
  <c r="M95" i="1"/>
  <c r="F95" i="1"/>
  <c r="L95" i="1"/>
  <c r="E95" i="1"/>
  <c r="K95" i="1"/>
  <c r="D95" i="1"/>
  <c r="N94" i="1"/>
  <c r="G94" i="1"/>
  <c r="M94" i="1"/>
  <c r="F94" i="1"/>
  <c r="L94" i="1"/>
  <c r="E94" i="1"/>
  <c r="K94" i="1"/>
  <c r="D94" i="1"/>
  <c r="N93" i="1"/>
  <c r="G93" i="1"/>
  <c r="M93" i="1"/>
  <c r="F93" i="1"/>
  <c r="L93" i="1"/>
  <c r="E93" i="1"/>
  <c r="K93" i="1"/>
  <c r="D93" i="1"/>
  <c r="N92" i="1"/>
  <c r="G92" i="1"/>
  <c r="M92" i="1"/>
  <c r="F92" i="1"/>
  <c r="L92" i="1"/>
  <c r="E92" i="1"/>
  <c r="K92" i="1"/>
  <c r="D92" i="1"/>
  <c r="N91" i="1"/>
  <c r="G91" i="1"/>
  <c r="M91" i="1"/>
  <c r="F91" i="1"/>
  <c r="L91" i="1"/>
  <c r="E91" i="1"/>
  <c r="K91" i="1"/>
  <c r="D91" i="1"/>
  <c r="N90" i="1"/>
  <c r="G90" i="1"/>
  <c r="M90" i="1"/>
  <c r="F90" i="1"/>
  <c r="L90" i="1"/>
  <c r="E90" i="1"/>
  <c r="K90" i="1"/>
  <c r="D90" i="1"/>
  <c r="N89" i="1"/>
  <c r="G89" i="1"/>
  <c r="M89" i="1"/>
  <c r="F89" i="1"/>
  <c r="L89" i="1"/>
  <c r="E89" i="1"/>
  <c r="K89" i="1"/>
  <c r="D89" i="1"/>
  <c r="N88" i="1"/>
  <c r="G88" i="1"/>
  <c r="M88" i="1"/>
  <c r="F88" i="1"/>
  <c r="L88" i="1"/>
  <c r="E88" i="1"/>
  <c r="K88" i="1"/>
  <c r="D88" i="1"/>
  <c r="N87" i="1"/>
  <c r="G87" i="1"/>
  <c r="M87" i="1"/>
  <c r="F87" i="1"/>
  <c r="L87" i="1"/>
  <c r="E87" i="1"/>
  <c r="K87" i="1"/>
  <c r="D87" i="1"/>
  <c r="N86" i="1"/>
  <c r="G86" i="1"/>
  <c r="M86" i="1"/>
  <c r="F86" i="1"/>
  <c r="L86" i="1"/>
  <c r="E86" i="1"/>
  <c r="K86" i="1"/>
  <c r="D86" i="1"/>
  <c r="N85" i="1"/>
  <c r="G85" i="1"/>
  <c r="M85" i="1"/>
  <c r="F85" i="1"/>
  <c r="L85" i="1"/>
  <c r="E85" i="1"/>
  <c r="K85" i="1"/>
  <c r="D85" i="1"/>
  <c r="N84" i="1"/>
  <c r="G84" i="1"/>
  <c r="M84" i="1"/>
  <c r="F84" i="1"/>
  <c r="L84" i="1"/>
  <c r="E84" i="1"/>
  <c r="K84" i="1"/>
  <c r="D84" i="1"/>
  <c r="N83" i="1"/>
  <c r="G83" i="1"/>
  <c r="M83" i="1"/>
  <c r="F83" i="1"/>
  <c r="L83" i="1"/>
  <c r="E83" i="1"/>
  <c r="K83" i="1"/>
  <c r="D83" i="1"/>
  <c r="N82" i="1"/>
  <c r="G82" i="1"/>
  <c r="M82" i="1"/>
  <c r="F82" i="1"/>
  <c r="L82" i="1"/>
  <c r="E82" i="1"/>
  <c r="K82" i="1"/>
  <c r="D82" i="1"/>
  <c r="N81" i="1"/>
  <c r="G81" i="1"/>
  <c r="M81" i="1"/>
  <c r="F81" i="1"/>
  <c r="L81" i="1"/>
  <c r="E81" i="1"/>
  <c r="K81" i="1"/>
  <c r="D81" i="1"/>
  <c r="N80" i="1"/>
  <c r="G80" i="1"/>
  <c r="M80" i="1"/>
  <c r="F80" i="1"/>
  <c r="L80" i="1"/>
  <c r="E80" i="1"/>
  <c r="K80" i="1"/>
  <c r="D80" i="1"/>
  <c r="N79" i="1"/>
  <c r="G79" i="1"/>
  <c r="M79" i="1"/>
  <c r="F79" i="1"/>
  <c r="L79" i="1"/>
  <c r="E79" i="1"/>
  <c r="K79" i="1"/>
  <c r="D79" i="1"/>
  <c r="N78" i="1"/>
  <c r="G78" i="1"/>
  <c r="M78" i="1"/>
  <c r="F78" i="1"/>
  <c r="L78" i="1"/>
  <c r="E78" i="1"/>
  <c r="K78" i="1"/>
  <c r="D78" i="1"/>
  <c r="N77" i="1"/>
  <c r="G77" i="1"/>
  <c r="M77" i="1"/>
  <c r="F77" i="1"/>
  <c r="L77" i="1"/>
  <c r="E77" i="1"/>
  <c r="K77" i="1"/>
  <c r="D77" i="1"/>
  <c r="N76" i="1"/>
  <c r="G76" i="1"/>
  <c r="M76" i="1"/>
  <c r="F76" i="1"/>
  <c r="L76" i="1"/>
  <c r="E76" i="1"/>
  <c r="K76" i="1"/>
  <c r="D76" i="1"/>
  <c r="N75" i="1"/>
  <c r="G75" i="1"/>
  <c r="M75" i="1"/>
  <c r="F75" i="1"/>
  <c r="L75" i="1"/>
  <c r="E75" i="1"/>
  <c r="K75" i="1"/>
  <c r="D75" i="1"/>
  <c r="N74" i="1"/>
  <c r="G74" i="1"/>
  <c r="M74" i="1"/>
  <c r="F74" i="1"/>
  <c r="L74" i="1"/>
  <c r="E74" i="1"/>
  <c r="K74" i="1"/>
  <c r="D74" i="1"/>
  <c r="N73" i="1"/>
  <c r="G73" i="1"/>
  <c r="M73" i="1"/>
  <c r="F73" i="1"/>
  <c r="L73" i="1"/>
  <c r="E73" i="1"/>
  <c r="K73" i="1"/>
  <c r="D73" i="1"/>
  <c r="N72" i="1"/>
  <c r="G72" i="1"/>
  <c r="M72" i="1"/>
  <c r="F72" i="1"/>
  <c r="L72" i="1"/>
  <c r="E72" i="1"/>
  <c r="K72" i="1"/>
  <c r="D72" i="1"/>
  <c r="N71" i="1"/>
  <c r="G71" i="1"/>
  <c r="M71" i="1"/>
  <c r="F71" i="1"/>
  <c r="L71" i="1"/>
  <c r="E71" i="1"/>
  <c r="K71" i="1"/>
  <c r="D71" i="1"/>
  <c r="N70" i="1"/>
  <c r="G70" i="1"/>
  <c r="M70" i="1"/>
  <c r="F70" i="1"/>
  <c r="L70" i="1"/>
  <c r="E70" i="1"/>
  <c r="K70" i="1"/>
  <c r="D70" i="1"/>
  <c r="N69" i="1"/>
  <c r="G69" i="1"/>
  <c r="M69" i="1"/>
  <c r="F69" i="1"/>
  <c r="L69" i="1"/>
  <c r="E69" i="1"/>
  <c r="K69" i="1"/>
  <c r="D69" i="1"/>
  <c r="N68" i="1"/>
  <c r="G68" i="1"/>
  <c r="M68" i="1"/>
  <c r="F68" i="1"/>
  <c r="L68" i="1"/>
  <c r="E68" i="1"/>
  <c r="K68" i="1"/>
  <c r="D68" i="1"/>
  <c r="N67" i="1"/>
  <c r="G67" i="1"/>
  <c r="M67" i="1"/>
  <c r="F67" i="1"/>
  <c r="L67" i="1"/>
  <c r="E67" i="1"/>
  <c r="K67" i="1"/>
  <c r="D67" i="1"/>
  <c r="N66" i="1"/>
  <c r="G66" i="1"/>
  <c r="M66" i="1"/>
  <c r="F66" i="1"/>
  <c r="L66" i="1"/>
  <c r="E66" i="1"/>
  <c r="K66" i="1"/>
  <c r="D66" i="1"/>
  <c r="N65" i="1"/>
  <c r="G65" i="1"/>
  <c r="M65" i="1"/>
  <c r="F65" i="1"/>
  <c r="L65" i="1"/>
  <c r="E65" i="1"/>
  <c r="K65" i="1"/>
  <c r="D65" i="1"/>
  <c r="N64" i="1"/>
  <c r="G64" i="1"/>
  <c r="M64" i="1"/>
  <c r="F64" i="1"/>
  <c r="L64" i="1"/>
  <c r="E64" i="1"/>
  <c r="K64" i="1"/>
  <c r="D64" i="1"/>
  <c r="N63" i="1"/>
  <c r="G63" i="1"/>
  <c r="M63" i="1"/>
  <c r="F63" i="1"/>
  <c r="L63" i="1"/>
  <c r="E63" i="1"/>
  <c r="K63" i="1"/>
  <c r="D63" i="1"/>
  <c r="N62" i="1"/>
  <c r="G62" i="1"/>
  <c r="M62" i="1"/>
  <c r="F62" i="1"/>
  <c r="L62" i="1"/>
  <c r="E62" i="1"/>
  <c r="K62" i="1"/>
  <c r="D62" i="1"/>
  <c r="N61" i="1"/>
  <c r="G61" i="1"/>
  <c r="M61" i="1"/>
  <c r="F61" i="1"/>
  <c r="L61" i="1"/>
  <c r="E61" i="1"/>
  <c r="K61" i="1"/>
  <c r="D61" i="1"/>
  <c r="N60" i="1"/>
  <c r="G60" i="1"/>
  <c r="M60" i="1"/>
  <c r="F60" i="1"/>
  <c r="L60" i="1"/>
  <c r="E60" i="1"/>
  <c r="K60" i="1"/>
  <c r="D60" i="1"/>
  <c r="N59" i="1"/>
  <c r="G59" i="1"/>
  <c r="M59" i="1"/>
  <c r="F59" i="1"/>
  <c r="L59" i="1"/>
  <c r="E59" i="1"/>
  <c r="K59" i="1"/>
  <c r="D59" i="1"/>
  <c r="N58" i="1"/>
  <c r="G58" i="1"/>
  <c r="M58" i="1"/>
  <c r="F58" i="1"/>
  <c r="L58" i="1"/>
  <c r="E58" i="1"/>
  <c r="K58" i="1"/>
  <c r="D58" i="1"/>
  <c r="N57" i="1"/>
  <c r="G57" i="1"/>
  <c r="M57" i="1"/>
  <c r="F57" i="1"/>
  <c r="L57" i="1"/>
  <c r="E57" i="1"/>
  <c r="K57" i="1"/>
  <c r="D57" i="1"/>
  <c r="N56" i="1"/>
  <c r="G56" i="1"/>
  <c r="M56" i="1"/>
  <c r="F56" i="1"/>
  <c r="L56" i="1"/>
  <c r="E56" i="1"/>
  <c r="K56" i="1"/>
  <c r="D56" i="1"/>
  <c r="N55" i="1"/>
  <c r="G55" i="1"/>
  <c r="M55" i="1"/>
  <c r="F55" i="1"/>
  <c r="L55" i="1"/>
  <c r="E55" i="1"/>
  <c r="K55" i="1"/>
  <c r="D55" i="1"/>
  <c r="N54" i="1"/>
  <c r="G54" i="1"/>
  <c r="M54" i="1"/>
  <c r="F54" i="1"/>
  <c r="L54" i="1"/>
  <c r="E54" i="1"/>
  <c r="K54" i="1"/>
  <c r="D54" i="1"/>
  <c r="N53" i="1"/>
  <c r="G53" i="1"/>
  <c r="M53" i="1"/>
  <c r="F53" i="1"/>
  <c r="L53" i="1"/>
  <c r="E53" i="1"/>
  <c r="K53" i="1"/>
  <c r="D53" i="1"/>
  <c r="N52" i="1"/>
  <c r="G52" i="1"/>
  <c r="M52" i="1"/>
  <c r="F52" i="1"/>
  <c r="L52" i="1"/>
  <c r="E52" i="1"/>
  <c r="K52" i="1"/>
  <c r="D52" i="1"/>
  <c r="N51" i="1"/>
  <c r="G51" i="1"/>
  <c r="M51" i="1"/>
  <c r="F51" i="1"/>
  <c r="L51" i="1"/>
  <c r="E51" i="1"/>
  <c r="K51" i="1"/>
  <c r="D51" i="1"/>
  <c r="N50" i="1"/>
  <c r="G50" i="1"/>
  <c r="M50" i="1"/>
  <c r="F50" i="1"/>
  <c r="L50" i="1"/>
  <c r="E50" i="1"/>
  <c r="K50" i="1"/>
  <c r="D50" i="1"/>
  <c r="N49" i="1"/>
  <c r="G49" i="1"/>
  <c r="M49" i="1"/>
  <c r="F49" i="1"/>
  <c r="L49" i="1"/>
  <c r="E49" i="1"/>
  <c r="K49" i="1"/>
  <c r="D49" i="1"/>
  <c r="N48" i="1"/>
  <c r="G48" i="1"/>
  <c r="M48" i="1"/>
  <c r="F48" i="1"/>
  <c r="L48" i="1"/>
  <c r="E48" i="1"/>
  <c r="K48" i="1"/>
  <c r="D48" i="1"/>
  <c r="N47" i="1"/>
  <c r="G47" i="1"/>
  <c r="M47" i="1"/>
  <c r="F47" i="1"/>
  <c r="L47" i="1"/>
  <c r="E47" i="1"/>
  <c r="K47" i="1"/>
  <c r="D47" i="1"/>
  <c r="N46" i="1"/>
  <c r="G46" i="1"/>
  <c r="M46" i="1"/>
  <c r="F46" i="1"/>
  <c r="L46" i="1"/>
  <c r="E46" i="1"/>
  <c r="K46" i="1"/>
  <c r="D46" i="1"/>
  <c r="N45" i="1"/>
  <c r="G45" i="1"/>
  <c r="M45" i="1"/>
  <c r="F45" i="1"/>
  <c r="L45" i="1"/>
  <c r="E45" i="1"/>
  <c r="K45" i="1"/>
  <c r="D45" i="1"/>
  <c r="N44" i="1"/>
  <c r="G44" i="1"/>
  <c r="M44" i="1"/>
  <c r="F44" i="1"/>
  <c r="L44" i="1"/>
  <c r="E44" i="1"/>
  <c r="K44" i="1"/>
  <c r="D44" i="1"/>
  <c r="N43" i="1"/>
  <c r="G43" i="1"/>
  <c r="M43" i="1"/>
  <c r="F43" i="1"/>
  <c r="L43" i="1"/>
  <c r="E43" i="1"/>
  <c r="K43" i="1"/>
  <c r="D43" i="1"/>
  <c r="N42" i="1"/>
  <c r="G42" i="1"/>
  <c r="M42" i="1"/>
  <c r="F42" i="1"/>
  <c r="L42" i="1"/>
  <c r="E42" i="1"/>
  <c r="K42" i="1"/>
  <c r="D42" i="1"/>
  <c r="N41" i="1"/>
  <c r="G41" i="1"/>
  <c r="M41" i="1"/>
  <c r="F41" i="1"/>
  <c r="L41" i="1"/>
  <c r="E41" i="1"/>
  <c r="K41" i="1"/>
  <c r="D41" i="1"/>
  <c r="N40" i="1"/>
  <c r="G40" i="1"/>
  <c r="M40" i="1"/>
  <c r="F40" i="1"/>
  <c r="L40" i="1"/>
  <c r="E40" i="1"/>
  <c r="K40" i="1"/>
  <c r="D40" i="1"/>
  <c r="N39" i="1"/>
  <c r="G39" i="1"/>
  <c r="M39" i="1"/>
  <c r="F39" i="1"/>
  <c r="L39" i="1"/>
  <c r="E39" i="1"/>
  <c r="K39" i="1"/>
  <c r="D39" i="1"/>
  <c r="N38" i="1"/>
  <c r="G38" i="1"/>
  <c r="M38" i="1"/>
  <c r="F38" i="1"/>
  <c r="L38" i="1"/>
  <c r="E38" i="1"/>
  <c r="K38" i="1"/>
  <c r="D38" i="1"/>
  <c r="N37" i="1"/>
  <c r="G37" i="1"/>
  <c r="M37" i="1"/>
  <c r="F37" i="1"/>
  <c r="L37" i="1"/>
  <c r="E37" i="1"/>
  <c r="K37" i="1"/>
  <c r="D37" i="1"/>
  <c r="N36" i="1"/>
  <c r="G36" i="1"/>
  <c r="M36" i="1"/>
  <c r="F36" i="1"/>
  <c r="L36" i="1"/>
  <c r="E36" i="1"/>
  <c r="K36" i="1"/>
  <c r="D36" i="1"/>
  <c r="N35" i="1"/>
  <c r="G35" i="1"/>
  <c r="M35" i="1"/>
  <c r="F35" i="1"/>
  <c r="L35" i="1"/>
  <c r="E35" i="1"/>
  <c r="K35" i="1"/>
  <c r="D35" i="1"/>
  <c r="N34" i="1"/>
  <c r="G34" i="1"/>
  <c r="M34" i="1"/>
  <c r="F34" i="1"/>
  <c r="L34" i="1"/>
  <c r="E34" i="1"/>
  <c r="K34" i="1"/>
  <c r="D34" i="1"/>
  <c r="N33" i="1"/>
  <c r="G33" i="1"/>
  <c r="M33" i="1"/>
  <c r="F33" i="1"/>
  <c r="L33" i="1"/>
  <c r="E33" i="1"/>
  <c r="K33" i="1"/>
  <c r="D33" i="1"/>
  <c r="N32" i="1"/>
  <c r="G32" i="1"/>
  <c r="M32" i="1"/>
  <c r="F32" i="1"/>
  <c r="L32" i="1"/>
  <c r="E32" i="1"/>
  <c r="K32" i="1"/>
  <c r="D32" i="1"/>
  <c r="N31" i="1"/>
  <c r="G31" i="1"/>
  <c r="M31" i="1"/>
  <c r="F31" i="1"/>
  <c r="L31" i="1"/>
  <c r="E31" i="1"/>
  <c r="K31" i="1"/>
  <c r="D31" i="1"/>
  <c r="N30" i="1"/>
  <c r="G30" i="1"/>
  <c r="M30" i="1"/>
  <c r="F30" i="1"/>
  <c r="L30" i="1"/>
  <c r="E30" i="1"/>
  <c r="K30" i="1"/>
  <c r="D30" i="1"/>
  <c r="N29" i="1"/>
  <c r="G29" i="1"/>
  <c r="M29" i="1"/>
  <c r="F29" i="1"/>
  <c r="L29" i="1"/>
  <c r="E29" i="1"/>
  <c r="K29" i="1"/>
  <c r="D29" i="1"/>
  <c r="N28" i="1"/>
  <c r="G28" i="1"/>
  <c r="M28" i="1"/>
  <c r="F28" i="1"/>
  <c r="L28" i="1"/>
  <c r="E28" i="1"/>
  <c r="K28" i="1"/>
  <c r="D28" i="1"/>
  <c r="N27" i="1"/>
  <c r="G27" i="1"/>
  <c r="M27" i="1"/>
  <c r="F27" i="1"/>
  <c r="L27" i="1"/>
  <c r="E27" i="1"/>
  <c r="K27" i="1"/>
  <c r="D27" i="1"/>
  <c r="N26" i="1"/>
  <c r="G26" i="1"/>
  <c r="M26" i="1"/>
  <c r="F26" i="1"/>
  <c r="L26" i="1"/>
  <c r="E26" i="1"/>
  <c r="K26" i="1"/>
  <c r="D26" i="1"/>
  <c r="N25" i="1"/>
  <c r="G25" i="1"/>
  <c r="M25" i="1"/>
  <c r="F25" i="1"/>
  <c r="L25" i="1"/>
  <c r="E25" i="1"/>
  <c r="K25" i="1"/>
  <c r="D25" i="1"/>
  <c r="N24" i="1"/>
  <c r="G24" i="1"/>
  <c r="M24" i="1"/>
  <c r="F24" i="1"/>
  <c r="L24" i="1"/>
  <c r="E24" i="1"/>
  <c r="K24" i="1"/>
  <c r="D24" i="1"/>
  <c r="N23" i="1"/>
  <c r="G23" i="1"/>
  <c r="M23" i="1"/>
  <c r="F23" i="1"/>
  <c r="L23" i="1"/>
  <c r="E23" i="1"/>
  <c r="K23" i="1"/>
  <c r="D23" i="1"/>
  <c r="N22" i="1"/>
  <c r="G22" i="1"/>
  <c r="M22" i="1"/>
  <c r="F22" i="1"/>
  <c r="L22" i="1"/>
  <c r="E22" i="1"/>
  <c r="K22" i="1"/>
  <c r="D22" i="1"/>
  <c r="N21" i="1"/>
  <c r="G21" i="1"/>
  <c r="M21" i="1"/>
  <c r="F21" i="1"/>
  <c r="L21" i="1"/>
  <c r="E21" i="1"/>
  <c r="K21" i="1"/>
  <c r="D21" i="1"/>
  <c r="N20" i="1"/>
  <c r="G20" i="1"/>
  <c r="M20" i="1"/>
  <c r="F20" i="1"/>
  <c r="L20" i="1"/>
  <c r="E20" i="1"/>
  <c r="K20" i="1"/>
  <c r="D20" i="1"/>
  <c r="N19" i="1"/>
  <c r="G19" i="1"/>
  <c r="M19" i="1"/>
  <c r="F19" i="1"/>
  <c r="L19" i="1"/>
  <c r="E19" i="1"/>
  <c r="K19" i="1"/>
  <c r="D19" i="1"/>
  <c r="N18" i="1"/>
  <c r="G18" i="1"/>
  <c r="M18" i="1"/>
  <c r="F18" i="1"/>
  <c r="L18" i="1"/>
  <c r="E18" i="1"/>
  <c r="K18" i="1"/>
  <c r="D18" i="1"/>
  <c r="N17" i="1"/>
  <c r="G17" i="1"/>
  <c r="M17" i="1"/>
  <c r="F17" i="1"/>
  <c r="L17" i="1"/>
  <c r="E17" i="1"/>
  <c r="K17" i="1"/>
  <c r="D17" i="1"/>
  <c r="N16" i="1"/>
  <c r="G16" i="1"/>
  <c r="M16" i="1"/>
  <c r="F16" i="1"/>
  <c r="L16" i="1"/>
  <c r="E16" i="1"/>
  <c r="K16" i="1"/>
  <c r="D16" i="1"/>
  <c r="M15" i="1"/>
  <c r="F15" i="1"/>
  <c r="L15" i="1"/>
  <c r="E15" i="1"/>
  <c r="K15" i="1"/>
  <c r="D15" i="1"/>
  <c r="C26" i="7"/>
  <c r="C25" i="7"/>
  <c r="C19" i="7"/>
  <c r="C17" i="7"/>
  <c r="M26" i="13" l="1"/>
  <c r="C23" i="13"/>
  <c r="C24" i="13"/>
  <c r="C25" i="13"/>
  <c r="C26" i="13"/>
  <c r="N26" i="13" s="1"/>
  <c r="C27" i="13"/>
  <c r="C28" i="13"/>
  <c r="C29" i="13"/>
  <c r="C30" i="13"/>
  <c r="C31" i="13"/>
  <c r="C32" i="13"/>
  <c r="C33" i="13"/>
  <c r="C34" i="13"/>
  <c r="C35" i="13"/>
  <c r="C36" i="13"/>
  <c r="C37" i="13"/>
  <c r="C38" i="13"/>
  <c r="C39" i="13"/>
  <c r="C40" i="13"/>
  <c r="C41" i="13"/>
  <c r="C42" i="13"/>
  <c r="C43" i="13"/>
  <c r="C44" i="13"/>
  <c r="C45" i="13"/>
  <c r="C46" i="13"/>
  <c r="C47" i="13"/>
  <c r="C48" i="13"/>
  <c r="C49" i="13"/>
  <c r="F34" i="13"/>
  <c r="F35" i="13"/>
  <c r="F36" i="13"/>
  <c r="F37" i="13"/>
  <c r="F38" i="13"/>
  <c r="F39" i="13"/>
  <c r="F40" i="13"/>
  <c r="F41" i="13"/>
  <c r="F42" i="13"/>
  <c r="F43" i="13"/>
  <c r="F44" i="13"/>
  <c r="F45" i="13"/>
  <c r="F46" i="13"/>
  <c r="F47" i="13"/>
  <c r="F48" i="13"/>
  <c r="G34" i="13"/>
  <c r="G35" i="13"/>
  <c r="G36" i="13"/>
  <c r="G37" i="13"/>
  <c r="G38" i="13"/>
  <c r="G39" i="13"/>
  <c r="G40" i="13"/>
  <c r="G41" i="13"/>
  <c r="G42" i="13"/>
  <c r="G43" i="13"/>
  <c r="G44" i="13"/>
  <c r="G45" i="13"/>
  <c r="G46" i="13"/>
  <c r="G47" i="13"/>
  <c r="G48" i="13"/>
  <c r="G49" i="13"/>
  <c r="L26" i="13" l="1"/>
  <c r="F26" i="13" s="1"/>
  <c r="G26" i="13" s="1"/>
  <c r="K26" i="13"/>
  <c r="P26" i="13"/>
  <c r="O26" i="13"/>
  <c r="A6" i="25" l="1"/>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N59" i="13" l="1"/>
  <c r="N61" i="13" s="1"/>
  <c r="O59" i="13"/>
  <c r="P59" i="13"/>
  <c r="Q59" i="13"/>
  <c r="R59" i="13"/>
  <c r="R61" i="13" s="1"/>
  <c r="M59" i="13"/>
  <c r="M61" i="13" s="1"/>
  <c r="N54" i="13"/>
  <c r="N56" i="13" s="1"/>
  <c r="O54" i="13"/>
  <c r="P54" i="13"/>
  <c r="Q54" i="13"/>
  <c r="R54" i="13"/>
  <c r="R56" i="13" s="1"/>
  <c r="M54" i="13"/>
  <c r="M56" i="13" s="1"/>
  <c r="E25" i="7" l="1"/>
  <c r="E26" i="7" l="1"/>
  <c r="M5" i="13"/>
  <c r="O61" i="13" l="1"/>
  <c r="P61" i="13"/>
  <c r="Q61" i="13"/>
  <c r="O56" i="13"/>
  <c r="P56" i="13"/>
  <c r="Q56" i="13"/>
  <c r="E52" i="13" l="1"/>
  <c r="B30" i="21"/>
  <c r="C14" i="18" l="1"/>
  <c r="D11" i="13" l="1"/>
  <c r="D12" i="13" l="1"/>
  <c r="D13" i="13" s="1"/>
  <c r="D14" i="13" s="1"/>
  <c r="D15" i="13" s="1"/>
  <c r="D16" i="13" s="1"/>
  <c r="D17" i="13" s="1"/>
  <c r="D18" i="13" s="1"/>
  <c r="D19" i="13" s="1"/>
  <c r="D20" i="13" s="1"/>
  <c r="D21" i="13" s="1"/>
  <c r="D22" i="13" s="1"/>
  <c r="D23" i="13" s="1"/>
  <c r="D24" i="13" s="1"/>
  <c r="D25" i="13" s="1"/>
  <c r="D26" i="13" s="1"/>
  <c r="D27" i="13" s="1"/>
  <c r="E9" i="13"/>
  <c r="D28" i="13" l="1"/>
  <c r="O27" i="13"/>
  <c r="M27" i="13"/>
  <c r="L27" i="13"/>
  <c r="K27" i="13"/>
  <c r="P27" i="13"/>
  <c r="N27" i="13"/>
  <c r="N5" i="13"/>
  <c r="T61" i="13"/>
  <c r="B12" i="21" s="1"/>
  <c r="T56" i="13"/>
  <c r="B11" i="21" s="1"/>
  <c r="L19" i="7"/>
  <c r="V2" i="7" s="1"/>
  <c r="D4" i="1"/>
  <c r="U4" i="1" s="1"/>
  <c r="F27" i="13" l="1"/>
  <c r="G27" i="13" s="1"/>
  <c r="D29" i="13"/>
  <c r="O28" i="13"/>
  <c r="P28" i="13"/>
  <c r="N28" i="13"/>
  <c r="K28" i="13"/>
  <c r="M28" i="13"/>
  <c r="L28" i="13"/>
  <c r="P23" i="13"/>
  <c r="P24" i="13"/>
  <c r="P25" i="13"/>
  <c r="P49" i="13"/>
  <c r="O23" i="13"/>
  <c r="O24" i="13"/>
  <c r="O25" i="13"/>
  <c r="O49" i="13"/>
  <c r="N23" i="13"/>
  <c r="N24" i="13"/>
  <c r="N25" i="13"/>
  <c r="N49" i="13"/>
  <c r="M23" i="13"/>
  <c r="M24" i="13"/>
  <c r="M25" i="13"/>
  <c r="M49" i="13"/>
  <c r="F49" i="13" s="1"/>
  <c r="L23" i="13"/>
  <c r="L24" i="13"/>
  <c r="L25" i="13"/>
  <c r="L49" i="13"/>
  <c r="K23" i="13"/>
  <c r="K24" i="13"/>
  <c r="K25" i="13"/>
  <c r="K49" i="13"/>
  <c r="F28" i="13" l="1"/>
  <c r="G28" i="13" s="1"/>
  <c r="D30" i="13"/>
  <c r="K29" i="13"/>
  <c r="L29" i="13"/>
  <c r="P29" i="13"/>
  <c r="M29" i="13"/>
  <c r="F29" i="13" s="1"/>
  <c r="G29" i="13" s="1"/>
  <c r="N29" i="13"/>
  <c r="O29" i="13"/>
  <c r="F24" i="13"/>
  <c r="G24" i="13" s="1"/>
  <c r="F23" i="13"/>
  <c r="G23" i="13" s="1"/>
  <c r="F25" i="13"/>
  <c r="G25" i="13" s="1"/>
  <c r="AF20" i="18"/>
  <c r="AG20" i="18" s="1"/>
  <c r="AF19" i="18"/>
  <c r="AG19" i="18" s="1"/>
  <c r="AF18" i="18"/>
  <c r="AG18" i="18" s="1"/>
  <c r="AF17" i="18"/>
  <c r="AG17" i="18" s="1"/>
  <c r="AF16" i="18"/>
  <c r="AG16" i="18" s="1"/>
  <c r="AF15" i="18"/>
  <c r="AG15" i="18" s="1"/>
  <c r="AF14" i="18"/>
  <c r="AG14" i="18" s="1"/>
  <c r="AF13" i="18"/>
  <c r="AG13" i="18" s="1"/>
  <c r="AF12" i="18"/>
  <c r="AG12" i="18" s="1"/>
  <c r="AF11" i="18"/>
  <c r="AG11" i="18" s="1"/>
  <c r="AF10" i="18"/>
  <c r="AG10" i="18" s="1"/>
  <c r="AF9" i="18"/>
  <c r="O28" i="18"/>
  <c r="E43" i="18"/>
  <c r="O16" i="18"/>
  <c r="D16" i="18"/>
  <c r="D15" i="18"/>
  <c r="D14" i="18"/>
  <c r="D31" i="13" l="1"/>
  <c r="P30" i="13"/>
  <c r="M30" i="13"/>
  <c r="K30" i="13"/>
  <c r="N30" i="13"/>
  <c r="O30" i="13"/>
  <c r="L30" i="13"/>
  <c r="AG9" i="18"/>
  <c r="H7" i="18"/>
  <c r="E35" i="18"/>
  <c r="O42" i="18"/>
  <c r="O35" i="18"/>
  <c r="O14" i="18"/>
  <c r="E42" i="18"/>
  <c r="O29" i="18"/>
  <c r="E14" i="18"/>
  <c r="O21" i="18"/>
  <c r="E21" i="18"/>
  <c r="E28" i="18"/>
  <c r="O7" i="18"/>
  <c r="E44" i="18"/>
  <c r="E29" i="18"/>
  <c r="O30" i="18"/>
  <c r="O8" i="18"/>
  <c r="E30" i="18"/>
  <c r="O43" i="18"/>
  <c r="O9" i="18"/>
  <c r="E15" i="18"/>
  <c r="O44" i="18"/>
  <c r="O22" i="18"/>
  <c r="E16" i="18"/>
  <c r="E36" i="18"/>
  <c r="O23" i="18"/>
  <c r="E37" i="18"/>
  <c r="O36" i="18"/>
  <c r="E22" i="18"/>
  <c r="O37" i="18"/>
  <c r="O15" i="18"/>
  <c r="E23" i="18"/>
  <c r="G5" i="18"/>
  <c r="N44" i="18"/>
  <c r="N43" i="18"/>
  <c r="N42" i="18"/>
  <c r="M30" i="18"/>
  <c r="M37" i="18" s="1"/>
  <c r="M29" i="18"/>
  <c r="M36" i="18" s="1"/>
  <c r="M43" i="18" s="1"/>
  <c r="M28" i="18"/>
  <c r="M35" i="18" s="1"/>
  <c r="M42" i="18" s="1"/>
  <c r="AP99"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F30" i="13" l="1"/>
  <c r="G30" i="13" s="1"/>
  <c r="D32" i="13"/>
  <c r="L31" i="13"/>
  <c r="K31" i="13"/>
  <c r="M31" i="13"/>
  <c r="F31" i="13" s="1"/>
  <c r="G31" i="13" s="1"/>
  <c r="P31" i="13"/>
  <c r="N31" i="13"/>
  <c r="O31" i="13"/>
  <c r="R42" i="18"/>
  <c r="R43" i="18"/>
  <c r="R44" i="18"/>
  <c r="M44" i="18"/>
  <c r="J5" i="1"/>
  <c r="E1" i="1" s="1"/>
  <c r="T1" i="1" s="1"/>
  <c r="D33" i="13" l="1"/>
  <c r="P32" i="13"/>
  <c r="O32" i="13"/>
  <c r="N32" i="13"/>
  <c r="M32" i="13"/>
  <c r="L32" i="13"/>
  <c r="K32" i="13"/>
  <c r="R46" i="18"/>
  <c r="H14" i="18"/>
  <c r="F32" i="13" l="1"/>
  <c r="G32" i="13" s="1"/>
  <c r="D34" i="13"/>
  <c r="D35" i="13" s="1"/>
  <c r="D36" i="13" s="1"/>
  <c r="D37" i="13" s="1"/>
  <c r="D38" i="13" s="1"/>
  <c r="D39" i="13" s="1"/>
  <c r="D40" i="13" s="1"/>
  <c r="D41" i="13" s="1"/>
  <c r="D42" i="13" s="1"/>
  <c r="D43" i="13" s="1"/>
  <c r="D44" i="13" s="1"/>
  <c r="D45" i="13" s="1"/>
  <c r="D46" i="13" s="1"/>
  <c r="D47" i="13" s="1"/>
  <c r="D48" i="13" s="1"/>
  <c r="D49" i="13" s="1"/>
  <c r="K33" i="13"/>
  <c r="L33" i="13"/>
  <c r="O33" i="13"/>
  <c r="N33" i="13"/>
  <c r="P33" i="13"/>
  <c r="M33" i="13"/>
  <c r="F33" i="13" s="1"/>
  <c r="G33" i="13" s="1"/>
  <c r="B4" i="21"/>
  <c r="AC100" i="1" l="1"/>
  <c r="V100" i="1"/>
  <c r="AA9" i="1" l="1"/>
  <c r="AA8" i="1"/>
  <c r="AA6" i="1"/>
  <c r="AA7" i="1" s="1"/>
  <c r="AA5" i="1"/>
  <c r="S15" i="1" s="1"/>
  <c r="U10" i="1"/>
  <c r="U9" i="1"/>
  <c r="U8" i="1"/>
  <c r="U7" i="1"/>
  <c r="U6" i="1"/>
  <c r="U5" i="1"/>
  <c r="U3" i="1"/>
  <c r="W12" i="1" l="1"/>
  <c r="B27" i="21"/>
  <c r="B28" i="21" s="1"/>
  <c r="C6" i="13"/>
  <c r="C16" i="18" l="1"/>
  <c r="C23" i="18" s="1"/>
  <c r="C15" i="18"/>
  <c r="C22" i="18" s="1"/>
  <c r="C29" i="18" s="1"/>
  <c r="C36" i="18" s="1"/>
  <c r="C43" i="18" s="1"/>
  <c r="M8" i="18" s="1"/>
  <c r="M15" i="18" s="1"/>
  <c r="M22" i="18" s="1"/>
  <c r="C21" i="18"/>
  <c r="C28" i="18" s="1"/>
  <c r="C35" i="18" s="1"/>
  <c r="C42" i="18" s="1"/>
  <c r="M7" i="18" s="1"/>
  <c r="M14" i="18" s="1"/>
  <c r="M21" i="18" s="1"/>
  <c r="N9" i="18"/>
  <c r="N8" i="18"/>
  <c r="N7" i="18"/>
  <c r="R7" i="18" s="1"/>
  <c r="D23" i="18"/>
  <c r="N16" i="18" s="1"/>
  <c r="D22" i="18"/>
  <c r="N15" i="18" s="1"/>
  <c r="D21" i="18"/>
  <c r="D5" i="18"/>
  <c r="D28" i="18" l="1"/>
  <c r="H28" i="18" s="1"/>
  <c r="H21" i="18"/>
  <c r="D29" i="18"/>
  <c r="D36" i="18" s="1"/>
  <c r="C30" i="18"/>
  <c r="D30" i="18"/>
  <c r="N14" i="18"/>
  <c r="R16" i="18"/>
  <c r="R9" i="18"/>
  <c r="R8" i="18"/>
  <c r="C22" i="13"/>
  <c r="C21" i="13"/>
  <c r="C20" i="13"/>
  <c r="C10" i="13"/>
  <c r="C19" i="13" s="1"/>
  <c r="H9" i="18"/>
  <c r="H8" i="18"/>
  <c r="H15" i="18"/>
  <c r="AQ16" i="1"/>
  <c r="AQ17" i="1" s="1"/>
  <c r="AQ18" i="1" s="1"/>
  <c r="AQ19" i="1" s="1"/>
  <c r="AQ20" i="1" s="1"/>
  <c r="AQ21" i="1" s="1"/>
  <c r="AQ22" i="1" s="1"/>
  <c r="AQ23" i="1" s="1"/>
  <c r="AQ24" i="1" s="1"/>
  <c r="AQ25" i="1" s="1"/>
  <c r="AQ26" i="1" s="1"/>
  <c r="AQ27" i="1" s="1"/>
  <c r="AQ28" i="1" s="1"/>
  <c r="AQ29" i="1" s="1"/>
  <c r="AQ30" i="1" s="1"/>
  <c r="AQ31" i="1" s="1"/>
  <c r="AQ32" i="1" s="1"/>
  <c r="AQ33" i="1" s="1"/>
  <c r="AQ34" i="1" s="1"/>
  <c r="AQ35" i="1" s="1"/>
  <c r="AQ36" i="1" s="1"/>
  <c r="AQ37" i="1" s="1"/>
  <c r="AQ38" i="1" s="1"/>
  <c r="AQ39" i="1" s="1"/>
  <c r="AQ40" i="1" s="1"/>
  <c r="AQ41" i="1" s="1"/>
  <c r="AQ42" i="1" s="1"/>
  <c r="AQ43" i="1" s="1"/>
  <c r="AQ44" i="1" s="1"/>
  <c r="AQ45" i="1" s="1"/>
  <c r="AQ46" i="1" s="1"/>
  <c r="AQ47" i="1" s="1"/>
  <c r="AQ48" i="1" s="1"/>
  <c r="AQ49" i="1" s="1"/>
  <c r="AQ50" i="1" s="1"/>
  <c r="AQ51" i="1" s="1"/>
  <c r="AQ52" i="1" s="1"/>
  <c r="AQ53" i="1" s="1"/>
  <c r="AQ54" i="1" s="1"/>
  <c r="AQ55" i="1" s="1"/>
  <c r="AQ56" i="1" s="1"/>
  <c r="AQ57" i="1" s="1"/>
  <c r="AQ58" i="1" s="1"/>
  <c r="AQ59" i="1" s="1"/>
  <c r="AQ60" i="1" s="1"/>
  <c r="AQ61" i="1" s="1"/>
  <c r="AQ62" i="1" s="1"/>
  <c r="AQ63" i="1" s="1"/>
  <c r="AQ64" i="1" s="1"/>
  <c r="AQ65" i="1" s="1"/>
  <c r="AQ66" i="1" s="1"/>
  <c r="AQ67" i="1" s="1"/>
  <c r="AQ68" i="1" s="1"/>
  <c r="AQ69" i="1" s="1"/>
  <c r="AQ70" i="1" s="1"/>
  <c r="AQ71" i="1" s="1"/>
  <c r="AQ72" i="1" s="1"/>
  <c r="AQ73" i="1" s="1"/>
  <c r="AQ74" i="1" s="1"/>
  <c r="AQ75" i="1" s="1"/>
  <c r="AQ76" i="1" s="1"/>
  <c r="AQ77" i="1" s="1"/>
  <c r="AQ78" i="1" s="1"/>
  <c r="AQ79" i="1" s="1"/>
  <c r="AQ80" i="1" s="1"/>
  <c r="AQ81" i="1" s="1"/>
  <c r="AQ82" i="1" s="1"/>
  <c r="AQ83" i="1" s="1"/>
  <c r="AQ84" i="1" s="1"/>
  <c r="AQ85" i="1" s="1"/>
  <c r="AQ86" i="1" s="1"/>
  <c r="AQ87" i="1" s="1"/>
  <c r="AQ88" i="1" s="1"/>
  <c r="AQ89" i="1" s="1"/>
  <c r="AQ90" i="1" s="1"/>
  <c r="AQ91" i="1" s="1"/>
  <c r="AQ92" i="1" s="1"/>
  <c r="AQ93" i="1" s="1"/>
  <c r="AQ94" i="1" s="1"/>
  <c r="AQ95" i="1" s="1"/>
  <c r="AQ96" i="1" s="1"/>
  <c r="AQ97" i="1" s="1"/>
  <c r="AQ98" i="1" s="1"/>
  <c r="AQ99" i="1" s="1"/>
  <c r="AQ100" i="1" s="1"/>
  <c r="AQ101" i="1" s="1"/>
  <c r="AQ102" i="1" s="1"/>
  <c r="AQ103" i="1" s="1"/>
  <c r="AQ104" i="1" s="1"/>
  <c r="AQ105" i="1" s="1"/>
  <c r="AQ106" i="1" s="1"/>
  <c r="AQ107" i="1" s="1"/>
  <c r="AQ108" i="1" s="1"/>
  <c r="AQ109" i="1" s="1"/>
  <c r="AQ110" i="1" s="1"/>
  <c r="AQ111" i="1" s="1"/>
  <c r="AQ112" i="1" s="1"/>
  <c r="AQ113" i="1" s="1"/>
  <c r="AQ114" i="1" s="1"/>
  <c r="AQ115" i="1" s="1"/>
  <c r="AQ116" i="1" s="1"/>
  <c r="AQ117" i="1" s="1"/>
  <c r="AQ118" i="1" s="1"/>
  <c r="AQ119" i="1" s="1"/>
  <c r="AQ120" i="1" s="1"/>
  <c r="AQ121" i="1" s="1"/>
  <c r="AQ122" i="1" s="1"/>
  <c r="AQ123" i="1" s="1"/>
  <c r="AQ124" i="1" s="1"/>
  <c r="AQ125" i="1" s="1"/>
  <c r="AQ126" i="1" s="1"/>
  <c r="AQ127" i="1" s="1"/>
  <c r="AQ128" i="1" s="1"/>
  <c r="AQ129" i="1" s="1"/>
  <c r="AQ130" i="1" s="1"/>
  <c r="AQ131" i="1" s="1"/>
  <c r="AQ132" i="1" s="1"/>
  <c r="AQ133" i="1" s="1"/>
  <c r="AQ134" i="1" s="1"/>
  <c r="AQ135" i="1" s="1"/>
  <c r="AQ136" i="1" s="1"/>
  <c r="AQ137" i="1" s="1"/>
  <c r="AQ138" i="1" s="1"/>
  <c r="AQ139" i="1" s="1"/>
  <c r="AQ140" i="1" s="1"/>
  <c r="AQ141" i="1" s="1"/>
  <c r="AQ142" i="1" s="1"/>
  <c r="AQ143" i="1" s="1"/>
  <c r="AQ144" i="1" s="1"/>
  <c r="AQ145" i="1" s="1"/>
  <c r="AQ146" i="1" s="1"/>
  <c r="J9" i="1"/>
  <c r="J8" i="1"/>
  <c r="D9" i="1"/>
  <c r="D8" i="1"/>
  <c r="D10" i="1"/>
  <c r="P22" i="13" l="1"/>
  <c r="K22" i="13"/>
  <c r="M22" i="13"/>
  <c r="N22" i="13"/>
  <c r="L22" i="13"/>
  <c r="O22" i="13"/>
  <c r="P21" i="13"/>
  <c r="L21" i="13"/>
  <c r="K21" i="13"/>
  <c r="M21" i="13"/>
  <c r="N21" i="13"/>
  <c r="O21" i="13"/>
  <c r="P20" i="13"/>
  <c r="K20" i="13"/>
  <c r="N20" i="13"/>
  <c r="L20" i="13"/>
  <c r="M20" i="13"/>
  <c r="O20" i="13"/>
  <c r="V116" i="1"/>
  <c r="V115" i="1"/>
  <c r="E12" i="1"/>
  <c r="V114" i="1" s="1"/>
  <c r="D35" i="18"/>
  <c r="D42" i="18" s="1"/>
  <c r="C15" i="13"/>
  <c r="N15" i="13" s="1"/>
  <c r="C16" i="13"/>
  <c r="O16" i="13" s="1"/>
  <c r="C17" i="13"/>
  <c r="P17" i="13" s="1"/>
  <c r="C18" i="13"/>
  <c r="M18" i="13" s="1"/>
  <c r="C11" i="13"/>
  <c r="P11" i="13" s="1"/>
  <c r="P10" i="13"/>
  <c r="O10" i="13"/>
  <c r="N10" i="13"/>
  <c r="M10" i="13"/>
  <c r="L10" i="13"/>
  <c r="K10" i="13"/>
  <c r="C14" i="13"/>
  <c r="P14" i="13" s="1"/>
  <c r="O19" i="13"/>
  <c r="N19" i="13"/>
  <c r="M19" i="13"/>
  <c r="L19" i="13"/>
  <c r="K19" i="13"/>
  <c r="P19" i="13"/>
  <c r="N21" i="18"/>
  <c r="R21" i="18" s="1"/>
  <c r="D43" i="18"/>
  <c r="N36" i="18" s="1"/>
  <c r="N29" i="18"/>
  <c r="N22" i="18"/>
  <c r="R15" i="18"/>
  <c r="R14" i="18"/>
  <c r="N23" i="18"/>
  <c r="D37" i="18"/>
  <c r="C37" i="18"/>
  <c r="R11" i="18"/>
  <c r="C12" i="13"/>
  <c r="P12" i="13" s="1"/>
  <c r="C13" i="13"/>
  <c r="P13" i="13" s="1"/>
  <c r="H11" i="18"/>
  <c r="K16" i="13" l="1"/>
  <c r="F19" i="13"/>
  <c r="G19" i="13" s="1"/>
  <c r="F22" i="13"/>
  <c r="G22" i="13" s="1"/>
  <c r="F21" i="13"/>
  <c r="G21" i="13" s="1"/>
  <c r="F20" i="13"/>
  <c r="G20" i="13" s="1"/>
  <c r="M17" i="13"/>
  <c r="L16" i="13"/>
  <c r="N16" i="13"/>
  <c r="V113" i="1"/>
  <c r="N35" i="18"/>
  <c r="R35" i="18" s="1"/>
  <c r="H42" i="18"/>
  <c r="H35" i="18"/>
  <c r="N28" i="18"/>
  <c r="R28" i="18" s="1"/>
  <c r="F10" i="13"/>
  <c r="G10" i="13" s="1"/>
  <c r="K15" i="13"/>
  <c r="M15" i="13"/>
  <c r="P16" i="13"/>
  <c r="N11" i="13"/>
  <c r="O17" i="13"/>
  <c r="K12" i="13"/>
  <c r="K18" i="13"/>
  <c r="L14" i="13"/>
  <c r="N17" i="13"/>
  <c r="P15" i="13"/>
  <c r="L17" i="13"/>
  <c r="O18" i="13"/>
  <c r="M14" i="13"/>
  <c r="O12" i="13"/>
  <c r="K17" i="13"/>
  <c r="O11" i="13"/>
  <c r="M11" i="13"/>
  <c r="K14" i="13"/>
  <c r="O15" i="13"/>
  <c r="M16" i="13"/>
  <c r="L18" i="13"/>
  <c r="L11" i="13"/>
  <c r="O14" i="13"/>
  <c r="L15" i="13"/>
  <c r="P18" i="13"/>
  <c r="K11" i="13"/>
  <c r="N14" i="13"/>
  <c r="N18" i="13"/>
  <c r="O13" i="13"/>
  <c r="L13" i="13"/>
  <c r="M12" i="13"/>
  <c r="N13" i="13"/>
  <c r="K13" i="13"/>
  <c r="M13" i="13"/>
  <c r="F13" i="13" s="1"/>
  <c r="G13" i="13" s="1"/>
  <c r="N12" i="13"/>
  <c r="L12" i="13"/>
  <c r="R22" i="18"/>
  <c r="R18" i="18"/>
  <c r="R23" i="18"/>
  <c r="D44" i="18"/>
  <c r="N37" i="18" s="1"/>
  <c r="R37" i="18" s="1"/>
  <c r="N30" i="18"/>
  <c r="R30" i="18" s="1"/>
  <c r="C44" i="18"/>
  <c r="H43" i="18"/>
  <c r="H37" i="18"/>
  <c r="H36" i="18"/>
  <c r="H30" i="18"/>
  <c r="H29" i="18"/>
  <c r="H23" i="18"/>
  <c r="H22" i="18"/>
  <c r="H16" i="18"/>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F17" i="13" l="1"/>
  <c r="G17" i="13" s="1"/>
  <c r="R36" i="18"/>
  <c r="R29" i="18"/>
  <c r="R32" i="18" s="1"/>
  <c r="F14" i="13"/>
  <c r="G14" i="13" s="1"/>
  <c r="F18" i="13"/>
  <c r="G18" i="13" s="1"/>
  <c r="F11" i="13"/>
  <c r="G11" i="13" s="1"/>
  <c r="F12" i="13"/>
  <c r="G12" i="13" s="1"/>
  <c r="F15" i="13"/>
  <c r="G15" i="13" s="1"/>
  <c r="F16" i="13"/>
  <c r="G16" i="13" s="1"/>
  <c r="R25" i="18"/>
  <c r="H44" i="18"/>
  <c r="H46" i="18" s="1"/>
  <c r="R39" i="18"/>
  <c r="M9" i="18"/>
  <c r="H39" i="18"/>
  <c r="H32" i="18"/>
  <c r="H25" i="18"/>
  <c r="H18" i="18"/>
  <c r="J6" i="1"/>
  <c r="J7" i="1" s="1"/>
  <c r="B5" i="21"/>
  <c r="D7" i="1"/>
  <c r="B24" i="21" s="1"/>
  <c r="B25" i="21" s="1"/>
  <c r="D6" i="1"/>
  <c r="B7" i="21" s="1"/>
  <c r="D5" i="1"/>
  <c r="B15" i="1" s="1"/>
  <c r="D3" i="1"/>
  <c r="AO98" i="1"/>
  <c r="F52" i="13" l="1"/>
  <c r="G52" i="13" s="1"/>
  <c r="C15" i="1"/>
  <c r="B20" i="21"/>
  <c r="Y92" i="1"/>
  <c r="Y36" i="1"/>
  <c r="R64" i="1"/>
  <c r="Y85" i="1"/>
  <c r="Y29" i="1"/>
  <c r="R57" i="1"/>
  <c r="Y50" i="1"/>
  <c r="Y43" i="1"/>
  <c r="Y78" i="1"/>
  <c r="Y22" i="1"/>
  <c r="R50" i="1"/>
  <c r="Y71" i="1"/>
  <c r="Y15" i="1"/>
  <c r="R43" i="1"/>
  <c r="Y64" i="1"/>
  <c r="R92" i="1"/>
  <c r="R36" i="1"/>
  <c r="Y57" i="1"/>
  <c r="R85" i="1"/>
  <c r="R29" i="1"/>
  <c r="R78" i="1"/>
  <c r="R22" i="1"/>
  <c r="R71" i="1"/>
  <c r="R15" i="1"/>
  <c r="I64" i="1"/>
  <c r="I57" i="1"/>
  <c r="I50" i="1"/>
  <c r="I92" i="1"/>
  <c r="I85" i="1"/>
  <c r="I78" i="1"/>
  <c r="I71" i="1"/>
  <c r="I36" i="1"/>
  <c r="B64" i="1"/>
  <c r="I15" i="1"/>
  <c r="B43" i="1"/>
  <c r="B92" i="1"/>
  <c r="B29" i="1"/>
  <c r="B85" i="1"/>
  <c r="B78" i="1"/>
  <c r="I43" i="1"/>
  <c r="B71" i="1"/>
  <c r="I29" i="1"/>
  <c r="B57" i="1"/>
  <c r="I22" i="1"/>
  <c r="B50" i="1"/>
  <c r="B22" i="1"/>
  <c r="B36" i="1"/>
  <c r="B6" i="21"/>
  <c r="B3" i="21"/>
  <c r="U106" i="1" s="1"/>
  <c r="M16" i="18"/>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T15" i="1" l="1"/>
  <c r="W111" i="1"/>
  <c r="H15" i="1"/>
  <c r="C16" i="1"/>
  <c r="M23" i="18"/>
  <c r="S16" i="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S45" i="1" s="1"/>
  <c r="S46" i="1" s="1"/>
  <c r="S47" i="1" s="1"/>
  <c r="S48" i="1" s="1"/>
  <c r="S49" i="1" s="1"/>
  <c r="S50" i="1" s="1"/>
  <c r="S51" i="1" s="1"/>
  <c r="S52" i="1" s="1"/>
  <c r="S53" i="1" s="1"/>
  <c r="S54" i="1" s="1"/>
  <c r="S55" i="1" s="1"/>
  <c r="S56" i="1" s="1"/>
  <c r="S57" i="1" s="1"/>
  <c r="S58" i="1" s="1"/>
  <c r="S59" i="1" s="1"/>
  <c r="S60" i="1" s="1"/>
  <c r="S61" i="1" s="1"/>
  <c r="S62" i="1" s="1"/>
  <c r="S63" i="1" s="1"/>
  <c r="U16" i="1" l="1"/>
  <c r="U15" i="1"/>
  <c r="C17" i="1"/>
  <c r="W15" i="1"/>
  <c r="S64" i="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S90" i="1" s="1"/>
  <c r="S91" i="1" s="1"/>
  <c r="S92" i="1" s="1"/>
  <c r="S93" i="1" s="1"/>
  <c r="S94" i="1" s="1"/>
  <c r="S95" i="1" s="1"/>
  <c r="S96" i="1" s="1"/>
  <c r="S97" i="1" s="1"/>
  <c r="S98" i="1" s="1"/>
  <c r="Z15" i="1" s="1"/>
  <c r="Z16" i="1" s="1"/>
  <c r="Z17" i="1" s="1"/>
  <c r="Z18" i="1" s="1"/>
  <c r="Z19" i="1" s="1"/>
  <c r="Z20" i="1" s="1"/>
  <c r="Z21" i="1" s="1"/>
  <c r="Z22" i="1" s="1"/>
  <c r="Z23" i="1" s="1"/>
  <c r="Z24" i="1" s="1"/>
  <c r="Z25" i="1" s="1"/>
  <c r="Z26" i="1" s="1"/>
  <c r="Z27" i="1" s="1"/>
  <c r="Z28" i="1" s="1"/>
  <c r="Z29" i="1" s="1"/>
  <c r="Z30" i="1" s="1"/>
  <c r="Z31" i="1" s="1"/>
  <c r="Z32" i="1" s="1"/>
  <c r="Z33" i="1" s="1"/>
  <c r="Z34" i="1" s="1"/>
  <c r="Z35" i="1" s="1"/>
  <c r="Z36" i="1" s="1"/>
  <c r="Z37" i="1" s="1"/>
  <c r="Z38" i="1" s="1"/>
  <c r="Z39" i="1" s="1"/>
  <c r="Z40" i="1" s="1"/>
  <c r="Z41" i="1" s="1"/>
  <c r="Z42" i="1" s="1"/>
  <c r="Z43" i="1" s="1"/>
  <c r="Z44" i="1" s="1"/>
  <c r="Z45" i="1" s="1"/>
  <c r="Z46" i="1" s="1"/>
  <c r="Z47" i="1" s="1"/>
  <c r="Z48" i="1" s="1"/>
  <c r="Z49" i="1" s="1"/>
  <c r="Z50" i="1" s="1"/>
  <c r="Z51" i="1" s="1"/>
  <c r="Z52" i="1" s="1"/>
  <c r="Z53" i="1" s="1"/>
  <c r="Z54" i="1" s="1"/>
  <c r="Z55" i="1" s="1"/>
  <c r="Z56" i="1" s="1"/>
  <c r="Z57" i="1" s="1"/>
  <c r="Z58" i="1" s="1"/>
  <c r="Z59" i="1" s="1"/>
  <c r="Z60" i="1" s="1"/>
  <c r="Z61" i="1" s="1"/>
  <c r="Z62" i="1" s="1"/>
  <c r="Z63" i="1" s="1"/>
  <c r="Z64" i="1" s="1"/>
  <c r="Z65" i="1" s="1"/>
  <c r="Z66" i="1" s="1"/>
  <c r="Z67" i="1" s="1"/>
  <c r="Z68" i="1" s="1"/>
  <c r="Z69" i="1" s="1"/>
  <c r="Z70" i="1" s="1"/>
  <c r="Z71" i="1" s="1"/>
  <c r="Z72" i="1" s="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Z96" i="1" s="1"/>
  <c r="Z97" i="1" s="1"/>
  <c r="Z98" i="1" s="1"/>
  <c r="AQ14" i="1" s="1"/>
  <c r="U17" i="1" l="1"/>
  <c r="T17" i="1"/>
  <c r="T16" i="1"/>
  <c r="W16" i="1" s="1"/>
  <c r="C18" i="1"/>
  <c r="X15" i="1"/>
  <c r="U18" i="1" l="1"/>
  <c r="W17" i="1"/>
  <c r="H16" i="1"/>
  <c r="X16" i="1"/>
  <c r="C19" i="1"/>
  <c r="T18" i="1" l="1"/>
  <c r="W18" i="1" s="1"/>
  <c r="H17" i="1"/>
  <c r="C20" i="1"/>
  <c r="U20" i="1" l="1"/>
  <c r="H18" i="1"/>
  <c r="X18" i="1"/>
  <c r="C21" i="1"/>
  <c r="X17" i="1"/>
  <c r="T19" i="1"/>
  <c r="W19" i="1" s="1"/>
  <c r="U19" i="1"/>
  <c r="U21" i="1" l="1"/>
  <c r="T20" i="1"/>
  <c r="W20" i="1" s="1"/>
  <c r="C22" i="1"/>
  <c r="H19" i="1"/>
  <c r="X19" i="1"/>
  <c r="U22" i="1" l="1"/>
  <c r="T22" i="1"/>
  <c r="T21" i="1"/>
  <c r="W21" i="1" s="1"/>
  <c r="C23" i="1"/>
  <c r="H20" i="1"/>
  <c r="X20" i="1"/>
  <c r="U23" i="1" l="1"/>
  <c r="T23" i="1"/>
  <c r="W23" i="1" s="1"/>
  <c r="W22" i="1"/>
  <c r="C24" i="1"/>
  <c r="H21" i="1"/>
  <c r="X21" i="1"/>
  <c r="C25" i="1"/>
  <c r="U24" i="1" l="1"/>
  <c r="T24" i="1"/>
  <c r="W24" i="1" s="1"/>
  <c r="U25" i="1"/>
  <c r="X22" i="1"/>
  <c r="H22" i="1"/>
  <c r="C26" i="1"/>
  <c r="U26" i="1" l="1"/>
  <c r="T25" i="1"/>
  <c r="W25" i="1" s="1"/>
  <c r="H23" i="1"/>
  <c r="C27" i="1"/>
  <c r="U27" i="1" l="1"/>
  <c r="T26" i="1"/>
  <c r="W26" i="1" s="1"/>
  <c r="X23" i="1"/>
  <c r="H24" i="1"/>
  <c r="X24" i="1"/>
  <c r="C28" i="1"/>
  <c r="U28" i="1" l="1"/>
  <c r="T27" i="1"/>
  <c r="W27" i="1" s="1"/>
  <c r="H25" i="1"/>
  <c r="X25" i="1"/>
  <c r="C29" i="1"/>
  <c r="U29" i="1" l="1"/>
  <c r="T28" i="1"/>
  <c r="W28" i="1" s="1"/>
  <c r="H26" i="1"/>
  <c r="C30" i="1"/>
  <c r="U30" i="1" l="1"/>
  <c r="T30" i="1"/>
  <c r="W30" i="1" s="1"/>
  <c r="T29" i="1"/>
  <c r="W29" i="1" s="1"/>
  <c r="H27" i="1"/>
  <c r="X26" i="1"/>
  <c r="X27" i="1"/>
  <c r="C31" i="1"/>
  <c r="U31" i="1" l="1"/>
  <c r="H28" i="1"/>
  <c r="X28" i="1"/>
  <c r="C32" i="1"/>
  <c r="U32" i="1" l="1"/>
  <c r="T31" i="1"/>
  <c r="W31" i="1" s="1"/>
  <c r="H29" i="1"/>
  <c r="X29" i="1"/>
  <c r="C33" i="1"/>
  <c r="U33" i="1" l="1"/>
  <c r="T32" i="1"/>
  <c r="W32" i="1" s="1"/>
  <c r="H30" i="1"/>
  <c r="X30" i="1"/>
  <c r="C34" i="1"/>
  <c r="U34" i="1" l="1"/>
  <c r="T34" i="1"/>
  <c r="W34" i="1" s="1"/>
  <c r="T33" i="1"/>
  <c r="W33" i="1" s="1"/>
  <c r="H31" i="1"/>
  <c r="X31" i="1"/>
  <c r="C35" i="1"/>
  <c r="U35" i="1" l="1"/>
  <c r="H32" i="1"/>
  <c r="X32" i="1"/>
  <c r="C36" i="1"/>
  <c r="U36" i="1" l="1"/>
  <c r="T35" i="1"/>
  <c r="W35" i="1" s="1"/>
  <c r="H33" i="1"/>
  <c r="X33" i="1"/>
  <c r="C37" i="1"/>
  <c r="U37" i="1" l="1"/>
  <c r="T37" i="1"/>
  <c r="W37" i="1" s="1"/>
  <c r="T36" i="1"/>
  <c r="W36" i="1" s="1"/>
  <c r="H34" i="1"/>
  <c r="X34" i="1"/>
  <c r="C38" i="1"/>
  <c r="U38" i="1" l="1"/>
  <c r="H35" i="1"/>
  <c r="X35" i="1"/>
  <c r="C39" i="1"/>
  <c r="U39" i="1" l="1"/>
  <c r="T38" i="1"/>
  <c r="W38" i="1" s="1"/>
  <c r="H36" i="1"/>
  <c r="X36" i="1"/>
  <c r="C40" i="1"/>
  <c r="U40" i="1" l="1"/>
  <c r="T39" i="1"/>
  <c r="W39" i="1" s="1"/>
  <c r="H37" i="1"/>
  <c r="X37" i="1"/>
  <c r="C41" i="1"/>
  <c r="U41" i="1" l="1"/>
  <c r="T40" i="1"/>
  <c r="W40" i="1" s="1"/>
  <c r="H38" i="1"/>
  <c r="X38" i="1"/>
  <c r="C42" i="1"/>
  <c r="U42" i="1" l="1"/>
  <c r="T41" i="1"/>
  <c r="W41" i="1" s="1"/>
  <c r="H39" i="1"/>
  <c r="X39" i="1"/>
  <c r="C43" i="1"/>
  <c r="U43" i="1" l="1"/>
  <c r="T42" i="1"/>
  <c r="W42" i="1" s="1"/>
  <c r="H40" i="1"/>
  <c r="X40" i="1"/>
  <c r="C44" i="1"/>
  <c r="U44" i="1" l="1"/>
  <c r="T43" i="1"/>
  <c r="W43" i="1" s="1"/>
  <c r="H41" i="1"/>
  <c r="X41" i="1"/>
  <c r="C45" i="1"/>
  <c r="U45" i="1" l="1"/>
  <c r="T45" i="1"/>
  <c r="W45" i="1" s="1"/>
  <c r="T44" i="1"/>
  <c r="W44" i="1" s="1"/>
  <c r="H42" i="1"/>
  <c r="X42" i="1"/>
  <c r="C46" i="1"/>
  <c r="U46" i="1" l="1"/>
  <c r="H43" i="1"/>
  <c r="X43" i="1"/>
  <c r="C47" i="1"/>
  <c r="U47" i="1" l="1"/>
  <c r="T46" i="1"/>
  <c r="W46" i="1" s="1"/>
  <c r="H44" i="1"/>
  <c r="X44" i="1"/>
  <c r="C48" i="1"/>
  <c r="U48" i="1" l="1"/>
  <c r="T47" i="1"/>
  <c r="W47" i="1" s="1"/>
  <c r="H45" i="1"/>
  <c r="X45" i="1"/>
  <c r="C49" i="1"/>
  <c r="U49" i="1" l="1"/>
  <c r="T48" i="1"/>
  <c r="W48" i="1" s="1"/>
  <c r="H46" i="1"/>
  <c r="X46" i="1"/>
  <c r="C50" i="1"/>
  <c r="U50" i="1" l="1"/>
  <c r="T49" i="1"/>
  <c r="W49" i="1" s="1"/>
  <c r="H47" i="1"/>
  <c r="X47" i="1"/>
  <c r="C51" i="1"/>
  <c r="U51" i="1" l="1"/>
  <c r="T51" i="1"/>
  <c r="W51" i="1" s="1"/>
  <c r="T50" i="1"/>
  <c r="W50" i="1" s="1"/>
  <c r="H48" i="1"/>
  <c r="X48" i="1"/>
  <c r="C52" i="1"/>
  <c r="U52" i="1" l="1"/>
  <c r="H49" i="1"/>
  <c r="X49" i="1"/>
  <c r="C53" i="1"/>
  <c r="U53" i="1" l="1"/>
  <c r="T52" i="1"/>
  <c r="W52" i="1" s="1"/>
  <c r="H50" i="1"/>
  <c r="X50" i="1"/>
  <c r="C54" i="1"/>
  <c r="U54" i="1" l="1"/>
  <c r="T54" i="1"/>
  <c r="W54" i="1" s="1"/>
  <c r="T53" i="1"/>
  <c r="W53" i="1" s="1"/>
  <c r="H51" i="1"/>
  <c r="X51" i="1"/>
  <c r="C55" i="1"/>
  <c r="U55" i="1" l="1"/>
  <c r="H52" i="1"/>
  <c r="X52" i="1"/>
  <c r="C56" i="1"/>
  <c r="U56" i="1" l="1"/>
  <c r="T55" i="1"/>
  <c r="W55" i="1" s="1"/>
  <c r="H53" i="1"/>
  <c r="X53" i="1"/>
  <c r="C57" i="1"/>
  <c r="U57" i="1" l="1"/>
  <c r="T56" i="1"/>
  <c r="W56" i="1" s="1"/>
  <c r="H54" i="1"/>
  <c r="X54" i="1"/>
  <c r="C58" i="1"/>
  <c r="U58" i="1" l="1"/>
  <c r="T57" i="1"/>
  <c r="W57" i="1" s="1"/>
  <c r="H55" i="1"/>
  <c r="X55" i="1"/>
  <c r="C59" i="1"/>
  <c r="U59" i="1" l="1"/>
  <c r="T58" i="1"/>
  <c r="W58" i="1" s="1"/>
  <c r="H56" i="1"/>
  <c r="X56" i="1"/>
  <c r="C60" i="1"/>
  <c r="U60" i="1" l="1"/>
  <c r="T59" i="1"/>
  <c r="W59" i="1" s="1"/>
  <c r="H57" i="1"/>
  <c r="X57" i="1"/>
  <c r="C61" i="1"/>
  <c r="U61" i="1" l="1"/>
  <c r="T60" i="1"/>
  <c r="W60" i="1" s="1"/>
  <c r="H58" i="1"/>
  <c r="X58" i="1"/>
  <c r="C62" i="1"/>
  <c r="U62" i="1" l="1"/>
  <c r="T62" i="1"/>
  <c r="W62" i="1" s="1"/>
  <c r="T61" i="1"/>
  <c r="W61" i="1" s="1"/>
  <c r="H59" i="1"/>
  <c r="X59" i="1"/>
  <c r="C63" i="1"/>
  <c r="U63" i="1" l="1"/>
  <c r="H60" i="1"/>
  <c r="X60" i="1"/>
  <c r="C64" i="1"/>
  <c r="U64" i="1" l="1"/>
  <c r="T63" i="1"/>
  <c r="W63" i="1" s="1"/>
  <c r="H61" i="1"/>
  <c r="C65" i="1"/>
  <c r="X61" i="1"/>
  <c r="U65" i="1" l="1"/>
  <c r="T65" i="1"/>
  <c r="W65" i="1" s="1"/>
  <c r="T64" i="1"/>
  <c r="W64" i="1" s="1"/>
  <c r="H62" i="1"/>
  <c r="C66" i="1"/>
  <c r="X62" i="1"/>
  <c r="U66" i="1" l="1"/>
  <c r="T66" i="1"/>
  <c r="W66" i="1" s="1"/>
  <c r="H63" i="1"/>
  <c r="C67" i="1"/>
  <c r="X63" i="1"/>
  <c r="U67" i="1" l="1"/>
  <c r="T67" i="1"/>
  <c r="W67" i="1" s="1"/>
  <c r="H64" i="1"/>
  <c r="C68" i="1"/>
  <c r="X64" i="1"/>
  <c r="U68" i="1" l="1"/>
  <c r="H65" i="1"/>
  <c r="C69" i="1"/>
  <c r="X65" i="1"/>
  <c r="U69" i="1" l="1"/>
  <c r="T69" i="1"/>
  <c r="W69" i="1" s="1"/>
  <c r="T68" i="1"/>
  <c r="W68" i="1" s="1"/>
  <c r="C70" i="1"/>
  <c r="H66" i="1"/>
  <c r="X66" i="1"/>
  <c r="U70" i="1" l="1"/>
  <c r="C71" i="1"/>
  <c r="H67" i="1"/>
  <c r="X67" i="1"/>
  <c r="C72" i="1"/>
  <c r="U71" i="1" l="1"/>
  <c r="T71" i="1"/>
  <c r="W71" i="1" s="1"/>
  <c r="U72" i="1"/>
  <c r="T72" i="1"/>
  <c r="W72" i="1" s="1"/>
  <c r="T70" i="1"/>
  <c r="W70" i="1" s="1"/>
  <c r="H68" i="1"/>
  <c r="X68" i="1"/>
  <c r="C73" i="1"/>
  <c r="U73" i="1" l="1"/>
  <c r="H69" i="1"/>
  <c r="H70" i="1"/>
  <c r="C74" i="1"/>
  <c r="U74" i="1" l="1"/>
  <c r="T73" i="1"/>
  <c r="W73" i="1" s="1"/>
  <c r="X69" i="1"/>
  <c r="H71" i="1"/>
  <c r="C75" i="1"/>
  <c r="U75" i="1" l="1"/>
  <c r="T74" i="1"/>
  <c r="W74" i="1" s="1"/>
  <c r="X70" i="1"/>
  <c r="H72" i="1"/>
  <c r="X71" i="1"/>
  <c r="C76" i="1"/>
  <c r="U76" i="1" l="1"/>
  <c r="T75" i="1"/>
  <c r="W75" i="1" s="1"/>
  <c r="H73" i="1"/>
  <c r="X72" i="1"/>
  <c r="C77" i="1"/>
  <c r="U77" i="1" l="1"/>
  <c r="T76" i="1"/>
  <c r="W76" i="1" s="1"/>
  <c r="H74" i="1"/>
  <c r="X73" i="1"/>
  <c r="C78" i="1"/>
  <c r="U78" i="1" l="1"/>
  <c r="T78" i="1"/>
  <c r="W78" i="1" s="1"/>
  <c r="T77" i="1"/>
  <c r="W77" i="1" s="1"/>
  <c r="H75" i="1"/>
  <c r="X74" i="1"/>
  <c r="C79" i="1"/>
  <c r="T79" i="1" l="1"/>
  <c r="W79" i="1" s="1"/>
  <c r="U79" i="1"/>
  <c r="H76" i="1"/>
  <c r="X75" i="1"/>
  <c r="C80" i="1"/>
  <c r="U80" i="1" l="1"/>
  <c r="H77" i="1"/>
  <c r="X76" i="1"/>
  <c r="C81" i="1"/>
  <c r="U81" i="1" l="1"/>
  <c r="T80" i="1"/>
  <c r="W80" i="1" s="1"/>
  <c r="H78" i="1"/>
  <c r="X77" i="1"/>
  <c r="C82" i="1"/>
  <c r="U82" i="1" l="1"/>
  <c r="T81" i="1"/>
  <c r="W81" i="1" s="1"/>
  <c r="H79" i="1"/>
  <c r="X78" i="1"/>
  <c r="C83" i="1"/>
  <c r="U83" i="1" l="1"/>
  <c r="T82" i="1"/>
  <c r="W82" i="1" s="1"/>
  <c r="H80" i="1"/>
  <c r="X79" i="1"/>
  <c r="C84" i="1"/>
  <c r="U84" i="1" l="1"/>
  <c r="T83" i="1"/>
  <c r="W83" i="1" s="1"/>
  <c r="X80" i="1"/>
  <c r="C85" i="1"/>
  <c r="U85" i="1" l="1"/>
  <c r="T85" i="1"/>
  <c r="W85" i="1" s="1"/>
  <c r="T84" i="1"/>
  <c r="W84" i="1" s="1"/>
  <c r="H81" i="1"/>
  <c r="X81" i="1"/>
  <c r="C86" i="1"/>
  <c r="U86" i="1" l="1"/>
  <c r="H82" i="1"/>
  <c r="X82" i="1"/>
  <c r="C87" i="1"/>
  <c r="U87" i="1" l="1"/>
  <c r="T86" i="1"/>
  <c r="W86" i="1" s="1"/>
  <c r="H83" i="1"/>
  <c r="X83" i="1"/>
  <c r="C88" i="1"/>
  <c r="U88" i="1" l="1"/>
  <c r="T87" i="1"/>
  <c r="W87" i="1" s="1"/>
  <c r="H84" i="1"/>
  <c r="X84" i="1"/>
  <c r="C89" i="1"/>
  <c r="U89" i="1" l="1"/>
  <c r="T88" i="1"/>
  <c r="W88" i="1" s="1"/>
  <c r="H85" i="1"/>
  <c r="X85" i="1"/>
  <c r="C90" i="1"/>
  <c r="U90" i="1" l="1"/>
  <c r="T89" i="1"/>
  <c r="W89" i="1" s="1"/>
  <c r="H86" i="1"/>
  <c r="X86" i="1"/>
  <c r="C91" i="1"/>
  <c r="U91" i="1" l="1"/>
  <c r="T90" i="1"/>
  <c r="W90" i="1" s="1"/>
  <c r="H87" i="1"/>
  <c r="X87" i="1"/>
  <c r="C92" i="1"/>
  <c r="U92" i="1" l="1"/>
  <c r="T91" i="1"/>
  <c r="W91" i="1" s="1"/>
  <c r="H88" i="1"/>
  <c r="X88" i="1"/>
  <c r="C93" i="1"/>
  <c r="U93" i="1" l="1"/>
  <c r="T92" i="1"/>
  <c r="W92" i="1" s="1"/>
  <c r="H89" i="1"/>
  <c r="X89" i="1"/>
  <c r="C94" i="1"/>
  <c r="U94" i="1" l="1"/>
  <c r="T93" i="1"/>
  <c r="W93" i="1" s="1"/>
  <c r="H90" i="1"/>
  <c r="X90" i="1"/>
  <c r="C95" i="1"/>
  <c r="U95" i="1" l="1"/>
  <c r="T94" i="1"/>
  <c r="W94" i="1" s="1"/>
  <c r="H91" i="1"/>
  <c r="X91" i="1"/>
  <c r="C96" i="1"/>
  <c r="U96" i="1" l="1"/>
  <c r="T95" i="1"/>
  <c r="W95" i="1" s="1"/>
  <c r="H92" i="1"/>
  <c r="X92" i="1"/>
  <c r="C97" i="1"/>
  <c r="U97" i="1" l="1"/>
  <c r="T96" i="1"/>
  <c r="W96" i="1" s="1"/>
  <c r="H93" i="1"/>
  <c r="X93" i="1"/>
  <c r="C98" i="1"/>
  <c r="T97" i="1" l="1"/>
  <c r="W97" i="1" s="1"/>
  <c r="F100" i="1"/>
  <c r="H94" i="1"/>
  <c r="X94" i="1"/>
  <c r="J15" i="1"/>
  <c r="H95" i="1" l="1"/>
  <c r="U98" i="1"/>
  <c r="U100" i="1" s="1"/>
  <c r="E100" i="1"/>
  <c r="T98" i="1"/>
  <c r="W98" i="1" s="1"/>
  <c r="D100" i="1"/>
  <c r="X95" i="1"/>
  <c r="J16" i="1"/>
  <c r="AB16" i="1" l="1"/>
  <c r="T100" i="1"/>
  <c r="H96" i="1"/>
  <c r="AB15" i="1"/>
  <c r="AA15" i="1"/>
  <c r="AD15" i="1" s="1"/>
  <c r="X96" i="1"/>
  <c r="J17" i="1"/>
  <c r="AA16" i="1" l="1"/>
  <c r="AD16" i="1" s="1"/>
  <c r="H97" i="1"/>
  <c r="X97" i="1"/>
  <c r="J18" i="1"/>
  <c r="AB18" i="1" l="1"/>
  <c r="H98" i="1"/>
  <c r="AB17" i="1"/>
  <c r="AA17" i="1"/>
  <c r="AD17" i="1" s="1"/>
  <c r="X98" i="1"/>
  <c r="J19" i="1"/>
  <c r="AB19" i="1" l="1"/>
  <c r="AA18" i="1"/>
  <c r="AD18" i="1" s="1"/>
  <c r="O15" i="1"/>
  <c r="AE15" i="1"/>
  <c r="J20" i="1"/>
  <c r="AB20" i="1" l="1"/>
  <c r="O16" i="1"/>
  <c r="AE16" i="1"/>
  <c r="AA19" i="1"/>
  <c r="AD19" i="1" s="1"/>
  <c r="J21" i="1"/>
  <c r="AB21" i="1" l="1"/>
  <c r="AA20" i="1"/>
  <c r="AD20" i="1" s="1"/>
  <c r="O17" i="1"/>
  <c r="AE17" i="1"/>
  <c r="J22" i="1"/>
  <c r="AA22" i="1" l="1"/>
  <c r="AD22" i="1" s="1"/>
  <c r="AB22" i="1"/>
  <c r="AA21" i="1"/>
  <c r="AD21" i="1" s="1"/>
  <c r="O18" i="1"/>
  <c r="AE18" i="1"/>
  <c r="J23" i="1"/>
  <c r="AB23" i="1" l="1"/>
  <c r="O19" i="1"/>
  <c r="AE19" i="1"/>
  <c r="J24" i="1"/>
  <c r="AB24" i="1" l="1"/>
  <c r="AA23" i="1"/>
  <c r="AD23" i="1" s="1"/>
  <c r="O20" i="1"/>
  <c r="AE20" i="1"/>
  <c r="J25" i="1"/>
  <c r="AA25" i="1" l="1"/>
  <c r="AD25" i="1" s="1"/>
  <c r="AB25" i="1"/>
  <c r="AA24" i="1"/>
  <c r="AD24" i="1" s="1"/>
  <c r="O21" i="1"/>
  <c r="AE21" i="1"/>
  <c r="J26" i="1"/>
  <c r="AB26" i="1" l="1"/>
  <c r="O22" i="1"/>
  <c r="AE22" i="1"/>
  <c r="J27" i="1"/>
  <c r="AB27" i="1" l="1"/>
  <c r="AA26" i="1"/>
  <c r="AD26" i="1" s="1"/>
  <c r="O23" i="1"/>
  <c r="AE23" i="1"/>
  <c r="J28" i="1"/>
  <c r="AB28" i="1" l="1"/>
  <c r="AA27" i="1"/>
  <c r="AD27" i="1" s="1"/>
  <c r="O24" i="1"/>
  <c r="AE24" i="1"/>
  <c r="J29" i="1"/>
  <c r="AB29" i="1" l="1"/>
  <c r="AA28" i="1"/>
  <c r="AD28" i="1" s="1"/>
  <c r="O25" i="1"/>
  <c r="AE25" i="1"/>
  <c r="J30" i="1"/>
  <c r="AB30" i="1" l="1"/>
  <c r="AA29" i="1"/>
  <c r="AD29" i="1" s="1"/>
  <c r="O26" i="1"/>
  <c r="AE26" i="1"/>
  <c r="J31" i="1"/>
  <c r="AB31" i="1" l="1"/>
  <c r="AA31" i="1"/>
  <c r="AD31" i="1" s="1"/>
  <c r="AA30" i="1"/>
  <c r="AD30" i="1" s="1"/>
  <c r="O27" i="1"/>
  <c r="AE27" i="1"/>
  <c r="J32" i="1"/>
  <c r="AB32" i="1" l="1"/>
  <c r="O28" i="1"/>
  <c r="AE28" i="1"/>
  <c r="J33" i="1"/>
  <c r="AB33" i="1" l="1"/>
  <c r="AA33" i="1"/>
  <c r="AD33" i="1" s="1"/>
  <c r="AA32" i="1"/>
  <c r="AD32" i="1" s="1"/>
  <c r="O29" i="1"/>
  <c r="J34" i="1"/>
  <c r="AB34" i="1" l="1"/>
  <c r="O30" i="1"/>
  <c r="AE30" i="1"/>
  <c r="J35" i="1"/>
  <c r="AB35" i="1" l="1"/>
  <c r="AA34" i="1"/>
  <c r="AD34" i="1" s="1"/>
  <c r="O31" i="1"/>
  <c r="AE31" i="1"/>
  <c r="J36" i="1"/>
  <c r="AB36" i="1" l="1"/>
  <c r="AA35" i="1"/>
  <c r="AD35" i="1" s="1"/>
  <c r="O32" i="1"/>
  <c r="AE32" i="1"/>
  <c r="J37" i="1"/>
  <c r="AB37" i="1" l="1"/>
  <c r="AA37" i="1"/>
  <c r="AD37" i="1" s="1"/>
  <c r="AA36" i="1"/>
  <c r="AD36" i="1" s="1"/>
  <c r="O33" i="1"/>
  <c r="AE33" i="1"/>
  <c r="J38" i="1"/>
  <c r="AB38" i="1" l="1"/>
  <c r="O34" i="1"/>
  <c r="AE34" i="1"/>
  <c r="J39" i="1"/>
  <c r="AB39" i="1" l="1"/>
  <c r="AA38" i="1"/>
  <c r="AD38" i="1" s="1"/>
  <c r="O35" i="1"/>
  <c r="AE35" i="1"/>
  <c r="J40" i="1"/>
  <c r="AB40" i="1" l="1"/>
  <c r="AA39" i="1"/>
  <c r="AD39" i="1" s="1"/>
  <c r="O36" i="1"/>
  <c r="AE36" i="1"/>
  <c r="J41" i="1"/>
  <c r="AB41" i="1" l="1"/>
  <c r="AA40" i="1"/>
  <c r="AD40" i="1" s="1"/>
  <c r="O37" i="1"/>
  <c r="AE37" i="1"/>
  <c r="J42" i="1"/>
  <c r="AB42" i="1" l="1"/>
  <c r="AA41" i="1"/>
  <c r="AD41" i="1" s="1"/>
  <c r="O38" i="1"/>
  <c r="AE38" i="1"/>
  <c r="J43" i="1"/>
  <c r="AB43" i="1" l="1"/>
  <c r="AA42" i="1"/>
  <c r="AD42" i="1" s="1"/>
  <c r="O39" i="1"/>
  <c r="AE39" i="1"/>
  <c r="J44" i="1"/>
  <c r="AB44" i="1" l="1"/>
  <c r="AA43" i="1"/>
  <c r="AD43" i="1" s="1"/>
  <c r="O40" i="1"/>
  <c r="AE40" i="1"/>
  <c r="J45" i="1"/>
  <c r="AB45" i="1" l="1"/>
  <c r="AA44" i="1"/>
  <c r="AD44" i="1" s="1"/>
  <c r="O41" i="1"/>
  <c r="AE41" i="1"/>
  <c r="J46" i="1"/>
  <c r="AB46" i="1" l="1"/>
  <c r="AA45" i="1"/>
  <c r="AD45" i="1" s="1"/>
  <c r="O42" i="1"/>
  <c r="AE42" i="1"/>
  <c r="J47" i="1"/>
  <c r="AB47" i="1" l="1"/>
  <c r="AA46" i="1"/>
  <c r="AD46" i="1" s="1"/>
  <c r="O43" i="1"/>
  <c r="AE43" i="1"/>
  <c r="J48" i="1"/>
  <c r="AB48" i="1" l="1"/>
  <c r="AA47" i="1"/>
  <c r="AD47" i="1" s="1"/>
  <c r="O44" i="1"/>
  <c r="AE44" i="1"/>
  <c r="J49" i="1"/>
  <c r="AB49" i="1" l="1"/>
  <c r="AA48" i="1"/>
  <c r="AD48" i="1" s="1"/>
  <c r="O45" i="1"/>
  <c r="AE45" i="1"/>
  <c r="J50" i="1"/>
  <c r="AB50" i="1" l="1"/>
  <c r="AA49" i="1"/>
  <c r="AD49" i="1" s="1"/>
  <c r="O46" i="1"/>
  <c r="AE46" i="1"/>
  <c r="J51" i="1"/>
  <c r="AB51" i="1" l="1"/>
  <c r="AA50" i="1"/>
  <c r="AD50" i="1" s="1"/>
  <c r="O47" i="1"/>
  <c r="AE47" i="1"/>
  <c r="J52" i="1"/>
  <c r="AB52" i="1" l="1"/>
  <c r="AA51" i="1"/>
  <c r="AD51" i="1" s="1"/>
  <c r="O48" i="1"/>
  <c r="AE48" i="1"/>
  <c r="J53" i="1"/>
  <c r="AB53" i="1" l="1"/>
  <c r="AA52" i="1"/>
  <c r="AD52" i="1" s="1"/>
  <c r="O49" i="1"/>
  <c r="AE49" i="1"/>
  <c r="J54" i="1"/>
  <c r="AB54" i="1" l="1"/>
  <c r="AA53" i="1"/>
  <c r="AD53" i="1" s="1"/>
  <c r="O50" i="1"/>
  <c r="AE50" i="1"/>
  <c r="J55" i="1"/>
  <c r="AB55" i="1" l="1"/>
  <c r="AA54" i="1"/>
  <c r="AD54" i="1" s="1"/>
  <c r="O51" i="1"/>
  <c r="AE51" i="1"/>
  <c r="J56" i="1"/>
  <c r="AB56" i="1" l="1"/>
  <c r="AA55" i="1"/>
  <c r="AD55" i="1" s="1"/>
  <c r="O52" i="1"/>
  <c r="AE52" i="1"/>
  <c r="J57" i="1"/>
  <c r="AB57" i="1" l="1"/>
  <c r="AA56" i="1"/>
  <c r="AD56" i="1" s="1"/>
  <c r="O53" i="1"/>
  <c r="AE53" i="1"/>
  <c r="J58" i="1"/>
  <c r="AB58" i="1" l="1"/>
  <c r="AA57" i="1"/>
  <c r="AD57" i="1" s="1"/>
  <c r="O54" i="1"/>
  <c r="AE54" i="1"/>
  <c r="J59" i="1"/>
  <c r="AB59" i="1" l="1"/>
  <c r="AA58" i="1"/>
  <c r="AD58" i="1" s="1"/>
  <c r="O55" i="1"/>
  <c r="AE55" i="1"/>
  <c r="J60" i="1"/>
  <c r="AB60" i="1" l="1"/>
  <c r="AA59" i="1"/>
  <c r="AD59" i="1" s="1"/>
  <c r="O56" i="1"/>
  <c r="AE56" i="1"/>
  <c r="J61" i="1"/>
  <c r="AB61" i="1" l="1"/>
  <c r="AA60" i="1"/>
  <c r="AD60" i="1" s="1"/>
  <c r="O57" i="1"/>
  <c r="AE57" i="1"/>
  <c r="J62" i="1"/>
  <c r="AB62" i="1" l="1"/>
  <c r="AA61" i="1"/>
  <c r="AD61" i="1" s="1"/>
  <c r="O58" i="1"/>
  <c r="AE58" i="1"/>
  <c r="J63" i="1"/>
  <c r="AB63" i="1" l="1"/>
  <c r="AA62" i="1"/>
  <c r="AD62" i="1" s="1"/>
  <c r="O59" i="1"/>
  <c r="AE59" i="1"/>
  <c r="J64" i="1"/>
  <c r="AB64" i="1" l="1"/>
  <c r="AA63" i="1"/>
  <c r="AD63" i="1" s="1"/>
  <c r="O60" i="1"/>
  <c r="AE60" i="1"/>
  <c r="J65" i="1"/>
  <c r="AB65" i="1" l="1"/>
  <c r="AA64" i="1"/>
  <c r="AD64" i="1" s="1"/>
  <c r="O61" i="1"/>
  <c r="AE61" i="1"/>
  <c r="J66" i="1"/>
  <c r="AB66" i="1" l="1"/>
  <c r="AA65" i="1"/>
  <c r="AD65" i="1" s="1"/>
  <c r="O62" i="1"/>
  <c r="AE62" i="1"/>
  <c r="J67" i="1"/>
  <c r="AB67" i="1" l="1"/>
  <c r="AA66" i="1"/>
  <c r="AD66" i="1" s="1"/>
  <c r="O63" i="1"/>
  <c r="AE63" i="1"/>
  <c r="J68" i="1"/>
  <c r="AB68" i="1" l="1"/>
  <c r="AA67" i="1"/>
  <c r="AD67" i="1" s="1"/>
  <c r="O64" i="1"/>
  <c r="AE64" i="1"/>
  <c r="J69" i="1"/>
  <c r="AB69" i="1" l="1"/>
  <c r="AA68" i="1"/>
  <c r="AD68" i="1" s="1"/>
  <c r="O65" i="1"/>
  <c r="AE65" i="1"/>
  <c r="J70" i="1"/>
  <c r="AB70" i="1" l="1"/>
  <c r="AA69" i="1"/>
  <c r="AD69" i="1" s="1"/>
  <c r="O66" i="1"/>
  <c r="AE66" i="1"/>
  <c r="J71" i="1"/>
  <c r="AB71" i="1" l="1"/>
  <c r="AA70" i="1"/>
  <c r="AD70" i="1" s="1"/>
  <c r="O67" i="1"/>
  <c r="AE67" i="1"/>
  <c r="J72" i="1"/>
  <c r="AB72" i="1" l="1"/>
  <c r="AA71" i="1"/>
  <c r="AD71" i="1" s="1"/>
  <c r="O68" i="1"/>
  <c r="AE68" i="1"/>
  <c r="J73" i="1"/>
  <c r="AB73" i="1" l="1"/>
  <c r="AA72" i="1"/>
  <c r="AD72" i="1" s="1"/>
  <c r="O69" i="1"/>
  <c r="AE69" i="1"/>
  <c r="J74" i="1"/>
  <c r="AB74" i="1" l="1"/>
  <c r="AA73" i="1"/>
  <c r="AD73" i="1" s="1"/>
  <c r="O70" i="1"/>
  <c r="AE70" i="1"/>
  <c r="J75" i="1"/>
  <c r="AA74" i="1" l="1"/>
  <c r="AD74" i="1" s="1"/>
  <c r="AB75" i="1"/>
  <c r="O71" i="1"/>
  <c r="AE71" i="1"/>
  <c r="J76" i="1"/>
  <c r="AB76" i="1" l="1"/>
  <c r="AA75" i="1"/>
  <c r="AD75" i="1" s="1"/>
  <c r="O72" i="1"/>
  <c r="AE72" i="1"/>
  <c r="J77" i="1"/>
  <c r="AB77" i="1" l="1"/>
  <c r="AA76" i="1"/>
  <c r="AD76" i="1" s="1"/>
  <c r="O73" i="1"/>
  <c r="AE73" i="1"/>
  <c r="J78" i="1"/>
  <c r="AB78" i="1" l="1"/>
  <c r="AA77" i="1"/>
  <c r="AD77" i="1" s="1"/>
  <c r="O74" i="1"/>
  <c r="AE74" i="1"/>
  <c r="J79" i="1"/>
  <c r="AB79" i="1" l="1"/>
  <c r="AA78" i="1"/>
  <c r="AD78" i="1" s="1"/>
  <c r="O75" i="1"/>
  <c r="AE75" i="1"/>
  <c r="J80" i="1"/>
  <c r="AB80" i="1" l="1"/>
  <c r="AA79" i="1"/>
  <c r="AD79" i="1" s="1"/>
  <c r="O76" i="1"/>
  <c r="AE76" i="1"/>
  <c r="J81" i="1"/>
  <c r="AB81" i="1" l="1"/>
  <c r="AA80" i="1"/>
  <c r="AD80" i="1" s="1"/>
  <c r="O77" i="1"/>
  <c r="AE77" i="1"/>
  <c r="J82" i="1"/>
  <c r="AB82" i="1" l="1"/>
  <c r="AA81" i="1"/>
  <c r="AD81" i="1" s="1"/>
  <c r="O78" i="1"/>
  <c r="AE78" i="1"/>
  <c r="J83" i="1"/>
  <c r="AB83" i="1" l="1"/>
  <c r="AA82" i="1"/>
  <c r="AD82" i="1" s="1"/>
  <c r="O79" i="1"/>
  <c r="AE79" i="1"/>
  <c r="J84" i="1"/>
  <c r="AB84" i="1" l="1"/>
  <c r="AA83" i="1"/>
  <c r="AD83" i="1" s="1"/>
  <c r="O80" i="1"/>
  <c r="AE80" i="1"/>
  <c r="J85" i="1"/>
  <c r="AB85" i="1" l="1"/>
  <c r="AA84" i="1"/>
  <c r="AD84" i="1" s="1"/>
  <c r="O81" i="1"/>
  <c r="AE81" i="1"/>
  <c r="J86" i="1"/>
  <c r="AB86" i="1" l="1"/>
  <c r="AA85" i="1"/>
  <c r="AD85" i="1" s="1"/>
  <c r="O82" i="1"/>
  <c r="AE82" i="1"/>
  <c r="J87" i="1"/>
  <c r="AB87" i="1" l="1"/>
  <c r="AA86" i="1"/>
  <c r="AD86" i="1" s="1"/>
  <c r="O83" i="1"/>
  <c r="AE83" i="1"/>
  <c r="J88" i="1"/>
  <c r="AB88" i="1" l="1"/>
  <c r="AA87" i="1"/>
  <c r="AD87" i="1" s="1"/>
  <c r="O84" i="1"/>
  <c r="AE84" i="1"/>
  <c r="J89" i="1"/>
  <c r="AB89" i="1" l="1"/>
  <c r="AA88" i="1"/>
  <c r="AD88" i="1" s="1"/>
  <c r="O85" i="1"/>
  <c r="AE85" i="1"/>
  <c r="J90" i="1"/>
  <c r="AB90" i="1" l="1"/>
  <c r="AA89" i="1"/>
  <c r="AD89" i="1" s="1"/>
  <c r="O86" i="1"/>
  <c r="AE86" i="1"/>
  <c r="J91" i="1"/>
  <c r="AB91" i="1" l="1"/>
  <c r="AA90" i="1"/>
  <c r="AD90" i="1" s="1"/>
  <c r="O87" i="1"/>
  <c r="AE87" i="1"/>
  <c r="J92" i="1"/>
  <c r="AB92" i="1" l="1"/>
  <c r="AA91" i="1"/>
  <c r="AD91" i="1" s="1"/>
  <c r="O88" i="1"/>
  <c r="AE88" i="1"/>
  <c r="J93" i="1"/>
  <c r="AB93" i="1" l="1"/>
  <c r="AA92" i="1"/>
  <c r="AD92" i="1" s="1"/>
  <c r="O89" i="1"/>
  <c r="AE89" i="1"/>
  <c r="J94" i="1"/>
  <c r="AB94" i="1" l="1"/>
  <c r="AA93" i="1"/>
  <c r="AD93" i="1" s="1"/>
  <c r="O90" i="1"/>
  <c r="AE90" i="1"/>
  <c r="J95" i="1"/>
  <c r="AB95" i="1" l="1"/>
  <c r="AA94" i="1"/>
  <c r="AD94" i="1" s="1"/>
  <c r="O91" i="1"/>
  <c r="AE91" i="1"/>
  <c r="J96" i="1"/>
  <c r="AB96" i="1" l="1"/>
  <c r="AA95" i="1"/>
  <c r="AD95" i="1" s="1"/>
  <c r="O92" i="1"/>
  <c r="AE92" i="1"/>
  <c r="J97" i="1"/>
  <c r="AB97" i="1" l="1"/>
  <c r="AA96" i="1"/>
  <c r="AD96" i="1" s="1"/>
  <c r="O93" i="1"/>
  <c r="AE93" i="1"/>
  <c r="J98" i="1"/>
  <c r="W112" i="1" l="1"/>
  <c r="AA97" i="1"/>
  <c r="AD97" i="1" s="1"/>
  <c r="AE29" i="1"/>
  <c r="M100" i="1"/>
  <c r="B10" i="21" s="1"/>
  <c r="B21" i="21" s="1"/>
  <c r="O94" i="1"/>
  <c r="AE94" i="1"/>
  <c r="O95" i="1" l="1"/>
  <c r="AE95" i="1"/>
  <c r="AB98" i="1"/>
  <c r="AB100" i="1" s="1"/>
  <c r="L100" i="1"/>
  <c r="AA98" i="1"/>
  <c r="AD98" i="1" s="1"/>
  <c r="K100" i="1"/>
  <c r="O96" i="1" l="1"/>
  <c r="B9" i="21"/>
  <c r="AE96" i="1"/>
  <c r="AA100" i="1"/>
  <c r="O97" i="1" l="1"/>
  <c r="O98" i="1"/>
  <c r="AE98" i="1"/>
  <c r="AE97" i="1"/>
  <c r="B13" i="21" l="1"/>
  <c r="B14" i="21" s="1"/>
  <c r="B22" i="21" s="1"/>
  <c r="B23" i="21" s="1"/>
  <c r="B26" i="21" s="1"/>
  <c r="AP14" i="1" s="1"/>
  <c r="AP15" i="1" s="1"/>
  <c r="B16" i="21" l="1"/>
  <c r="B17" i="21" s="1"/>
  <c r="AP16" i="1"/>
  <c r="AP17" i="1" s="1"/>
  <c r="AP18" i="1" s="1"/>
  <c r="AP19" i="1" s="1"/>
  <c r="AP20" i="1" s="1"/>
  <c r="AP21" i="1" s="1"/>
  <c r="AP22" i="1" s="1"/>
  <c r="AP23" i="1" s="1"/>
  <c r="AP24" i="1" s="1"/>
  <c r="AP25" i="1" s="1"/>
  <c r="AP26" i="1" s="1"/>
  <c r="AP27" i="1" s="1"/>
  <c r="AP28" i="1" s="1"/>
  <c r="AP29" i="1" s="1"/>
  <c r="AP30" i="1" s="1"/>
  <c r="AP31" i="1" s="1"/>
  <c r="AP32" i="1" s="1"/>
  <c r="AP33" i="1" s="1"/>
  <c r="AP34" i="1" s="1"/>
  <c r="AP35" i="1" s="1"/>
  <c r="AP36" i="1" s="1"/>
  <c r="AP37" i="1" s="1"/>
  <c r="AP38" i="1" s="1"/>
  <c r="AP39" i="1" s="1"/>
  <c r="AP40" i="1" s="1"/>
  <c r="AP41" i="1" s="1"/>
  <c r="AP42" i="1" s="1"/>
  <c r="AP43" i="1" s="1"/>
  <c r="AP44" i="1" s="1"/>
  <c r="AP45" i="1" s="1"/>
  <c r="AP46" i="1" s="1"/>
  <c r="AP47" i="1" s="1"/>
  <c r="AP48" i="1" s="1"/>
  <c r="AP49" i="1" s="1"/>
  <c r="AP50" i="1" s="1"/>
  <c r="AP51" i="1" s="1"/>
  <c r="AP52" i="1" s="1"/>
  <c r="AP53" i="1" s="1"/>
  <c r="AP54" i="1" s="1"/>
  <c r="AP55" i="1" s="1"/>
  <c r="AP56" i="1" s="1"/>
  <c r="AP57" i="1" s="1"/>
  <c r="AP58" i="1" s="1"/>
  <c r="AP59" i="1" s="1"/>
  <c r="AP60" i="1" s="1"/>
  <c r="AP61" i="1" s="1"/>
  <c r="AP62" i="1" s="1"/>
  <c r="AP63" i="1" s="1"/>
  <c r="AP64" i="1" s="1"/>
  <c r="AP65" i="1" s="1"/>
  <c r="AP66" i="1" s="1"/>
  <c r="AP67" i="1" s="1"/>
  <c r="AP68" i="1" s="1"/>
  <c r="AP69" i="1" s="1"/>
  <c r="AP70" i="1" s="1"/>
  <c r="AP71" i="1" s="1"/>
  <c r="AP72" i="1" s="1"/>
  <c r="AP73" i="1" s="1"/>
  <c r="AP74" i="1" s="1"/>
  <c r="AP75" i="1" s="1"/>
  <c r="AP76" i="1" s="1"/>
  <c r="AP77" i="1" s="1"/>
  <c r="AP78" i="1" s="1"/>
  <c r="AP79" i="1" s="1"/>
  <c r="AP80" i="1" s="1"/>
  <c r="AP81" i="1" s="1"/>
  <c r="AP82" i="1" s="1"/>
  <c r="AP83" i="1" s="1"/>
  <c r="AP84" i="1" s="1"/>
  <c r="AP85" i="1" s="1"/>
  <c r="AP86" i="1" s="1"/>
  <c r="AP87" i="1" s="1"/>
  <c r="AP88" i="1" s="1"/>
  <c r="AP89" i="1" s="1"/>
  <c r="AP90" i="1" s="1"/>
  <c r="AP91" i="1" s="1"/>
  <c r="AP92" i="1" s="1"/>
  <c r="AP93" i="1" s="1"/>
  <c r="AP94" i="1" s="1"/>
  <c r="AP95" i="1" s="1"/>
  <c r="AP96" i="1" s="1"/>
  <c r="AP97" i="1" s="1"/>
  <c r="AP98" i="1" s="1"/>
  <c r="AP1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randy.pierce</author>
  </authors>
  <commentList>
    <comment ref="C10" authorId="0" shapeId="0" xr:uid="{00000000-0006-0000-0100-000001000000}">
      <text>
        <r>
          <rPr>
            <sz val="11"/>
            <color indexed="81"/>
            <rFont val="Tahoma"/>
            <family val="2"/>
          </rPr>
          <t xml:space="preserve">Better yet, use flow meter records, prior and after irrigation divide by the acres irrigated to get a gross water per irrigation. </t>
        </r>
        <r>
          <rPr>
            <b/>
            <sz val="11"/>
            <color indexed="81"/>
            <rFont val="Tahoma"/>
            <family val="2"/>
          </rPr>
          <t>Use the "Net Irrigation Calculator"</t>
        </r>
        <r>
          <rPr>
            <b/>
            <i/>
            <sz val="11"/>
            <color indexed="81"/>
            <rFont val="Tahoma"/>
            <family val="2"/>
          </rPr>
          <t xml:space="preserve"> Tab to calculate for you!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randy.pierce</author>
    <author>Crowe, Amanda - NRCS, Bismarck, ND</author>
  </authors>
  <commentList>
    <comment ref="F9" authorId="0" shapeId="0" xr:uid="{00000000-0006-0000-0200-000001000000}">
      <text>
        <r>
          <rPr>
            <b/>
            <sz val="8"/>
            <color indexed="81"/>
            <rFont val="Tahoma"/>
            <family val="2"/>
          </rPr>
          <t xml:space="preserve">For Project with no flow meter, a handy formula is 
</t>
        </r>
        <r>
          <rPr>
            <b/>
            <sz val="12"/>
            <color indexed="81"/>
            <rFont val="Tahoma"/>
            <family val="2"/>
          </rPr>
          <t>Q*T=D*A</t>
        </r>
        <r>
          <rPr>
            <b/>
            <sz val="8"/>
            <color indexed="81"/>
            <rFont val="Tahoma"/>
            <family val="2"/>
          </rPr>
          <t xml:space="preserve">
Where:
Q = cfs
T= hours
D=Design depth inches.(Gross Irrigation)
A= acres</t>
        </r>
      </text>
    </comment>
    <comment ref="G9" authorId="1" shapeId="0" xr:uid="{00000000-0006-0000-0200-000002000000}">
      <text>
        <r>
          <rPr>
            <b/>
            <sz val="8"/>
            <color indexed="81"/>
            <rFont val="Tahoma"/>
            <family val="2"/>
          </rPr>
          <t>This data will automatically populate in the IWM Evaluation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Crowe, Amanda - NRCS, Bismarck, ND</author>
    <author>randy.pierce</author>
  </authors>
  <commentList>
    <comment ref="E6" authorId="0" shapeId="0" xr:uid="{00000000-0006-0000-0300-000001000000}">
      <text>
        <r>
          <rPr>
            <b/>
            <sz val="10"/>
            <color indexed="81"/>
            <rFont val="Tahoma"/>
            <family val="2"/>
          </rPr>
          <t>From NEH Part 652 Table 2-1 and 9-1.
Override if site specific data is available.</t>
        </r>
        <r>
          <rPr>
            <sz val="10"/>
            <color indexed="81"/>
            <rFont val="Tahoma"/>
            <family val="2"/>
          </rPr>
          <t xml:space="preserve">
</t>
        </r>
      </text>
    </comment>
    <comment ref="G6" authorId="1" shapeId="0" xr:uid="{00000000-0006-0000-0300-000002000000}">
      <text>
        <r>
          <rPr>
            <b/>
            <sz val="10"/>
            <color indexed="81"/>
            <rFont val="Tahoma"/>
            <family val="2"/>
          </rPr>
          <t xml:space="preserve">From  Figure "AVAILABLE WATER DEPLETION PERCENT" 
(scroll to your right!)
</t>
        </r>
      </text>
    </comment>
    <comment ref="Q27" authorId="1" shapeId="0" xr:uid="{00000000-0006-0000-0300-000003000000}">
      <text>
        <r>
          <rPr>
            <b/>
            <sz val="8"/>
            <color indexed="81"/>
            <rFont val="Tahoma"/>
            <family val="2"/>
          </rPr>
          <t>FROM "AVAILABLE WATER DEPLETION PERCENT" CHART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Crowe, Amanda - NRCS, Bismarck, ND</author>
    <author>randy.pierce</author>
  </authors>
  <commentList>
    <comment ref="F14" authorId="0" shapeId="0" xr:uid="{00000000-0006-0000-0600-000001000000}">
      <text>
        <r>
          <rPr>
            <b/>
            <sz val="11"/>
            <color indexed="81"/>
            <rFont val="Tahoma"/>
            <family val="2"/>
          </rPr>
          <t xml:space="preserve">
cells will autopopulate from the Net Irrigation Calculator tab 
-or-
override formula by directly entering the amount of net water applied during each irrigation event</t>
        </r>
      </text>
    </comment>
    <comment ref="G14" authorId="1" shapeId="0" xr:uid="{00000000-0006-0000-0600-000002000000}">
      <text>
        <r>
          <rPr>
            <b/>
            <sz val="11"/>
            <color indexed="81"/>
            <rFont val="Tahoma"/>
            <family val="2"/>
          </rPr>
          <t>Overwrite if onsite soil moisture data is available.
Negative values  indicate the soil is very dry</t>
        </r>
        <r>
          <rPr>
            <b/>
            <sz val="10"/>
            <color indexed="81"/>
            <rFont val="Tahoma"/>
            <family val="2"/>
          </rPr>
          <t>.</t>
        </r>
      </text>
    </comment>
    <comment ref="M14" authorId="0" shapeId="0" xr:uid="{00000000-0006-0000-0600-000003000000}">
      <text>
        <r>
          <rPr>
            <b/>
            <sz val="11"/>
            <color indexed="81"/>
            <rFont val="Tahoma"/>
            <family val="2"/>
          </rPr>
          <t xml:space="preserve">
cells will autopopulate from the Net Irrigation Calculator tab  
-or-
override formula by directly entering the amount of water applied during each irrigation event</t>
        </r>
      </text>
    </comment>
    <comment ref="N14" authorId="1" shapeId="0" xr:uid="{00000000-0006-0000-0600-000004000000}">
      <text>
        <r>
          <rPr>
            <b/>
            <sz val="11"/>
            <color indexed="81"/>
            <rFont val="Tahoma"/>
            <family val="2"/>
          </rPr>
          <t>Overwrite if onsite soil moisture data is available.
Negative values  indicate the soil is very dry</t>
        </r>
      </text>
    </comment>
    <comment ref="V14" authorId="0" shapeId="0" xr:uid="{00000000-0006-0000-0600-000005000000}">
      <text>
        <r>
          <rPr>
            <b/>
            <sz val="11"/>
            <color indexed="81"/>
            <rFont val="Tahoma"/>
            <family val="2"/>
          </rPr>
          <t xml:space="preserve">
cells will autopopulate from the Net Irrigation Calculator tab 
-or-
override formula by directly entering the amount of net water applied during each irrigation event</t>
        </r>
      </text>
    </comment>
    <comment ref="W14" authorId="1" shapeId="0" xr:uid="{00000000-0006-0000-0600-000006000000}">
      <text>
        <r>
          <rPr>
            <b/>
            <sz val="11"/>
            <color indexed="81"/>
            <rFont val="Tahoma"/>
            <family val="2"/>
          </rPr>
          <t>Overwrite if onsite soil moisture data is available.
Negative values  indicate the soil is very dry</t>
        </r>
        <r>
          <rPr>
            <b/>
            <sz val="10"/>
            <color indexed="81"/>
            <rFont val="Tahoma"/>
            <family val="2"/>
          </rPr>
          <t>.</t>
        </r>
      </text>
    </comment>
    <comment ref="AC14" authorId="0" shapeId="0" xr:uid="{00000000-0006-0000-0600-000007000000}">
      <text>
        <r>
          <rPr>
            <b/>
            <sz val="11"/>
            <color indexed="81"/>
            <rFont val="Tahoma"/>
            <family val="2"/>
          </rPr>
          <t xml:space="preserve">
cells will autopopulate from the Net Irrigation Calculator tab 
-or-
override formula by directly entering the amount of net water applied during each irrigation event</t>
        </r>
      </text>
    </comment>
    <comment ref="AD14" authorId="1" shapeId="0" xr:uid="{00000000-0006-0000-0600-000008000000}">
      <text>
        <r>
          <rPr>
            <b/>
            <sz val="11"/>
            <color indexed="81"/>
            <rFont val="Tahoma"/>
            <family val="2"/>
          </rPr>
          <t>Overwrite if onsite soil moisture data is available.
Negative values  indicate the soil is very dry</t>
        </r>
        <r>
          <rPr>
            <b/>
            <sz val="10"/>
            <color indexed="81"/>
            <rFont val="Tahoma"/>
            <family val="2"/>
          </rPr>
          <t>.</t>
        </r>
      </text>
    </comment>
    <comment ref="H15" authorId="1" shapeId="0" xr:uid="{00000000-0006-0000-0600-000009000000}">
      <text>
        <r>
          <rPr>
            <b/>
            <sz val="11"/>
            <color indexed="81"/>
            <rFont val="Tahoma"/>
            <family val="2"/>
          </rPr>
          <t xml:space="preserve">If the words "Below MAD Level" appear this means the crops are using more energy to draw water from the soil and productivity will be reduced.
If the word </t>
        </r>
        <r>
          <rPr>
            <b/>
            <sz val="11"/>
            <color indexed="10"/>
            <rFont val="Tahoma"/>
            <family val="2"/>
          </rPr>
          <t>"Runoff or Deep Percolation"</t>
        </r>
        <r>
          <rPr>
            <b/>
            <sz val="11"/>
            <color indexed="81"/>
            <rFont val="Tahoma"/>
            <family val="2"/>
          </rPr>
          <t xml:space="preserve"> appears this means to much water was applied to the soil and was lost to the plant by runoff or deep percolation.</t>
        </r>
      </text>
    </comment>
    <comment ref="O15" authorId="1" shapeId="0" xr:uid="{00000000-0006-0000-0600-00000A000000}">
      <text>
        <r>
          <rPr>
            <b/>
            <sz val="11"/>
            <color indexed="81"/>
            <rFont val="Tahoma"/>
            <family val="2"/>
          </rPr>
          <t>If the words "</t>
        </r>
        <r>
          <rPr>
            <b/>
            <u/>
            <sz val="11"/>
            <color indexed="10"/>
            <rFont val="Tahoma"/>
            <family val="2"/>
          </rPr>
          <t>Below MAD Level</t>
        </r>
        <r>
          <rPr>
            <b/>
            <sz val="11"/>
            <color indexed="81"/>
            <rFont val="Tahoma"/>
            <family val="2"/>
          </rPr>
          <t>" appear this means the crops are using more energy to draw water from the soil and productivity will be reduced.
If the word "</t>
        </r>
        <r>
          <rPr>
            <b/>
            <u/>
            <sz val="11"/>
            <color indexed="10"/>
            <rFont val="Tahoma"/>
            <family val="2"/>
          </rPr>
          <t>Runoff or Deep Percolation</t>
        </r>
        <r>
          <rPr>
            <b/>
            <sz val="11"/>
            <color indexed="81"/>
            <rFont val="Tahoma"/>
            <family val="2"/>
          </rPr>
          <t>" appears this means to much water was applied to the soil and was lost to the plant by runoff or deep percolation.</t>
        </r>
      </text>
    </comment>
  </commentList>
</comments>
</file>

<file path=xl/sharedStrings.xml><?xml version="1.0" encoding="utf-8"?>
<sst xmlns="http://schemas.openxmlformats.org/spreadsheetml/2006/main" count="775" uniqueCount="347">
  <si>
    <t>Week After Emergence</t>
  </si>
  <si>
    <t>Start of Emergence</t>
  </si>
  <si>
    <t>Crop Water Use</t>
  </si>
  <si>
    <t>ADD</t>
  </si>
  <si>
    <t>TOTAL</t>
  </si>
  <si>
    <t>Crop:</t>
  </si>
  <si>
    <t>Emergence Date:</t>
  </si>
  <si>
    <t>Pump Capacity:</t>
  </si>
  <si>
    <t>Net Irrigation:</t>
  </si>
  <si>
    <t>inches</t>
  </si>
  <si>
    <t>Producer:</t>
  </si>
  <si>
    <t>Water Holding Capacity:</t>
  </si>
  <si>
    <t>%</t>
  </si>
  <si>
    <t>Sweet Corn</t>
  </si>
  <si>
    <t>total gpm</t>
  </si>
  <si>
    <t>Alfalfa</t>
  </si>
  <si>
    <t>Corn</t>
  </si>
  <si>
    <t>Grass</t>
  </si>
  <si>
    <t>Milo</t>
  </si>
  <si>
    <t>Orchard trees</t>
  </si>
  <si>
    <t>Nursery stock</t>
  </si>
  <si>
    <t>Peas</t>
  </si>
  <si>
    <t>Safflower</t>
  </si>
  <si>
    <t>Sorghum</t>
  </si>
  <si>
    <t>Sugar Beets</t>
  </si>
  <si>
    <t>Sun Flowers</t>
  </si>
  <si>
    <t>Beans</t>
  </si>
  <si>
    <t>Vegetables 3-4 ft.</t>
  </si>
  <si>
    <t>Garlic</t>
  </si>
  <si>
    <t>Onions</t>
  </si>
  <si>
    <t>Vegetables 1-2 ft.</t>
  </si>
  <si>
    <t>Spinach</t>
  </si>
  <si>
    <t>Management allowed depletion:</t>
  </si>
  <si>
    <t>Days after Emergence</t>
  </si>
  <si>
    <t>Ac/Ft.</t>
  </si>
  <si>
    <t>Beginning Flow meter reading</t>
  </si>
  <si>
    <t>Ending Flow Meter reading:</t>
  </si>
  <si>
    <t>WEEK 1</t>
  </si>
  <si>
    <t>WEEK 2</t>
  </si>
  <si>
    <t>WEEK 11</t>
  </si>
  <si>
    <t>WEEK 12</t>
  </si>
  <si>
    <t>WEEK 13</t>
  </si>
  <si>
    <t>WEEK 15</t>
  </si>
  <si>
    <t>WEEK 14</t>
  </si>
  <si>
    <t>WEEK 16</t>
  </si>
  <si>
    <t>WEEK 17</t>
  </si>
  <si>
    <t>WEEK 18</t>
  </si>
  <si>
    <t>WEEK 19</t>
  </si>
  <si>
    <t>WEEK 20</t>
  </si>
  <si>
    <t>WEEK 21</t>
  </si>
  <si>
    <t>WEEK 22</t>
  </si>
  <si>
    <t>Phone:</t>
  </si>
  <si>
    <t>Ac/ft.</t>
  </si>
  <si>
    <t>Efficiency --- net/applied water =</t>
  </si>
  <si>
    <t>Net irrigation needed (CU-P)=</t>
  </si>
  <si>
    <t>Net irrigation applied=</t>
  </si>
  <si>
    <t>Total gross water applied=</t>
  </si>
  <si>
    <t>and energy costs.</t>
  </si>
  <si>
    <t xml:space="preserve">A proper Irrigation Water Management Plan will reduce irrigation runoff and deep percolation, improve crop productivity and conserve water, </t>
  </si>
  <si>
    <t>Date:</t>
  </si>
  <si>
    <t>Management Rooting Depth</t>
  </si>
  <si>
    <t>Potatoes</t>
  </si>
  <si>
    <t>Gross Irrigation by system:</t>
  </si>
  <si>
    <t>If following the "Recommended Irrigation Schedule, this system would have applied a net irrigation of:</t>
  </si>
  <si>
    <t>This saving would have resulting in pumping less water and only applying:</t>
  </si>
  <si>
    <t>difference from applied water is:</t>
  </si>
  <si>
    <t>gpm</t>
  </si>
  <si>
    <t>Converting to Acre Feet:</t>
  </si>
  <si>
    <t>days</t>
  </si>
  <si>
    <t>Total days the pump could have be shut down:</t>
  </si>
  <si>
    <t>So the pumped saving would be:</t>
  </si>
  <si>
    <t>Charge per KW:</t>
  </si>
  <si>
    <t>and irrigation system will have to do.</t>
  </si>
  <si>
    <t>Designed Peak Consumptive Use:</t>
  </si>
  <si>
    <t>CERTIFICATION OF AN IRRIGATION WATER MANAGEMENT PLAN</t>
  </si>
  <si>
    <t>The Irrigation pump is stated as pumping:</t>
  </si>
  <si>
    <t xml:space="preserve">If the pump is not running, then the irrigation system may not be running, this would increase savings from electricity, not to mention less work the pump </t>
  </si>
  <si>
    <t>$/kw/hr</t>
  </si>
  <si>
    <t>KW</t>
  </si>
  <si>
    <t>KW-days</t>
  </si>
  <si>
    <t>$-Season</t>
  </si>
  <si>
    <t>Lettuce</t>
  </si>
  <si>
    <t>Savings for following the "Recommended Irrigation Schedule" and on running a pump:</t>
  </si>
  <si>
    <t>Crop planted:</t>
  </si>
  <si>
    <t>Date of  crop emergence:</t>
  </si>
  <si>
    <t>Texture</t>
  </si>
  <si>
    <t>Fine Sand</t>
  </si>
  <si>
    <t>Loamy Fine Sand</t>
  </si>
  <si>
    <t>Sandy Loam</t>
  </si>
  <si>
    <t>Fine Sandy Loam</t>
  </si>
  <si>
    <t xml:space="preserve">Loam </t>
  </si>
  <si>
    <t>Silt Loam</t>
  </si>
  <si>
    <t>Sandy Clay Loam</t>
  </si>
  <si>
    <t>Clay Loam</t>
  </si>
  <si>
    <t>Silty Clay Loam</t>
  </si>
  <si>
    <t xml:space="preserve">Clay </t>
  </si>
  <si>
    <t>Soil depth:</t>
  </si>
  <si>
    <t>0-15"</t>
  </si>
  <si>
    <t>15"-36"</t>
  </si>
  <si>
    <t>36"-48"</t>
  </si>
  <si>
    <t>Soil Texture</t>
  </si>
  <si>
    <t>Sandy loam</t>
  </si>
  <si>
    <t>AWC</t>
  </si>
  <si>
    <t>Soil Moisture holding Capacity</t>
  </si>
  <si>
    <t>15"/12"x1.45" = 1.8"</t>
  </si>
  <si>
    <t>21"/12"x1.8"/ft = 3.15"</t>
  </si>
  <si>
    <t>12"/12"x2.4"/ft = 2.4"</t>
  </si>
  <si>
    <t>Total AWC = 7.35"</t>
  </si>
  <si>
    <t>Total depletion = .74"</t>
  </si>
  <si>
    <t>WEEK 23</t>
  </si>
  <si>
    <t>WEEK 24</t>
  </si>
  <si>
    <t>Pump horse power:</t>
  </si>
  <si>
    <t>Total Kilowatts based on HP:</t>
  </si>
  <si>
    <t>Hp</t>
  </si>
  <si>
    <t>Acres irrigated</t>
  </si>
  <si>
    <t>Date</t>
  </si>
  <si>
    <t>Number of irrigation</t>
  </si>
  <si>
    <t>Gross water per irrigation (inches)</t>
  </si>
  <si>
    <t>Calculated Net Irrigation (Inches)</t>
  </si>
  <si>
    <t>Notes:</t>
  </si>
  <si>
    <t>inches - otherwise the crop will try to use water below the "MAD" level</t>
  </si>
  <si>
    <t>Centibar reading</t>
  </si>
  <si>
    <t>Sensor Depth (in)</t>
  </si>
  <si>
    <t>Soil type</t>
  </si>
  <si>
    <t>Estimate AWC</t>
  </si>
  <si>
    <t>Calculated Available moisture</t>
  </si>
  <si>
    <t>Notes</t>
  </si>
  <si>
    <t>CRITICAL PERIODS FOR PLANT MOISTURE STRESS</t>
  </si>
  <si>
    <t>Crop</t>
  </si>
  <si>
    <t>Comments</t>
  </si>
  <si>
    <t>At seedling stage for new seedlings, just after cutting for hay, and at start of flowering stage for seed production.</t>
  </si>
  <si>
    <t>Small Grains</t>
  </si>
  <si>
    <t>During boot, bloom, milk stage, early head development and early ripening stages.</t>
  </si>
  <si>
    <t>At time of plant emergence, following thinning and about 1 month after emergence.</t>
  </si>
  <si>
    <t>From tasseling through silk stage and until kernels become firm.</t>
  </si>
  <si>
    <t>Corn, Silage &amp; Grain</t>
  </si>
  <si>
    <t>Potato</t>
  </si>
  <si>
    <t>Flowering and tuber formation to harvest.</t>
  </si>
  <si>
    <t>Frequent light applications during early growth period.  Temporary leaf wilt on hot days is common even with adequate soil water content.  Excessive fall irrigation lowers sugar content, but soil moisture needs to be adequate for easy beet lifting.</t>
  </si>
  <si>
    <t>Flowering through pod formation.</t>
  </si>
  <si>
    <t>Tomato</t>
  </si>
  <si>
    <t>Turnips</t>
  </si>
  <si>
    <t>Squash</t>
  </si>
  <si>
    <t>Silty Clay</t>
  </si>
  <si>
    <t>Sensor 1</t>
  </si>
  <si>
    <t>Sensor 2</t>
  </si>
  <si>
    <t>Available Water Depletion %</t>
  </si>
  <si>
    <t>RECOMMENDED IRRIGATION SCHEDULE</t>
  </si>
  <si>
    <t>Recommended Root Mgmt.Depth:</t>
  </si>
  <si>
    <t>Starting Available Soil Moisture</t>
  </si>
  <si>
    <t>Recommended Root Mgmt. Depth:</t>
  </si>
  <si>
    <t>Starting Available Soil Moisture is 7.35"-.74" = 6.61"</t>
  </si>
  <si>
    <t>Designed Efficiency (%)</t>
  </si>
  <si>
    <t>( x 448.8 = cfs)</t>
  </si>
  <si>
    <t>hours</t>
  </si>
  <si>
    <t>acres</t>
  </si>
  <si>
    <t>Sensors</t>
  </si>
  <si>
    <t>Type of Irrigation System:</t>
  </si>
  <si>
    <t xml:space="preserve"> Peak Consumptive Use:</t>
  </si>
  <si>
    <t>Management Allowed Crop Depletion (MAD):</t>
  </si>
  <si>
    <t>Maintain available soil moisture greater than:</t>
  </si>
  <si>
    <t xml:space="preserve">% of System efficiency </t>
  </si>
  <si>
    <t>The management of this system is within</t>
  </si>
  <si>
    <t>List any recommendations for improvements to be made next irrigation season</t>
  </si>
  <si>
    <t>Records</t>
  </si>
  <si>
    <t>SUBTRACT</t>
  </si>
  <si>
    <t xml:space="preserve">%  </t>
  </si>
  <si>
    <t>inches/day</t>
  </si>
  <si>
    <t>NEH part 652, Irrigation Guide, Table 3-4</t>
  </si>
  <si>
    <t>Spring Grain</t>
  </si>
  <si>
    <t>MAD = Management Allowed Depletion</t>
  </si>
  <si>
    <t>Producer Phone number:</t>
  </si>
  <si>
    <t>Acres Irrigated:</t>
  </si>
  <si>
    <t>Soil Map Unit(s):</t>
  </si>
  <si>
    <t>gross water per irrigation is calculated from flow meter readings</t>
  </si>
  <si>
    <t>Typical Efficiencies</t>
  </si>
  <si>
    <t>Designed Efficiency :</t>
  </si>
  <si>
    <t>Net Irrigation Calculator</t>
  </si>
  <si>
    <t>Irrigated Acres:</t>
  </si>
  <si>
    <t xml:space="preserve">Per acre = </t>
  </si>
  <si>
    <t>Approved by:</t>
  </si>
  <si>
    <t>Ac/ft. per day</t>
  </si>
  <si>
    <t>Engineering Job Approval Class:</t>
  </si>
  <si>
    <t>Name for Producer:</t>
  </si>
  <si>
    <t>Irrigation Field Identifier:</t>
  </si>
  <si>
    <t>Sugar Beet</t>
  </si>
  <si>
    <t>APPLIED IRRIGATION SCHEDULE</t>
  </si>
  <si>
    <t>WEEK 3                                 4-5 Leaf</t>
  </si>
  <si>
    <t>Week 4</t>
  </si>
  <si>
    <t>Week 5</t>
  </si>
  <si>
    <t>Week 8</t>
  </si>
  <si>
    <t>Week 11</t>
  </si>
  <si>
    <t>Week 12</t>
  </si>
  <si>
    <t>Week 13</t>
  </si>
  <si>
    <t>Week 14</t>
  </si>
  <si>
    <t>Week 15</t>
  </si>
  <si>
    <t>Week 16</t>
  </si>
  <si>
    <t>Week 17</t>
  </si>
  <si>
    <t>Week 18</t>
  </si>
  <si>
    <t>Week 19</t>
  </si>
  <si>
    <t>Week 20</t>
  </si>
  <si>
    <t>Week 21</t>
  </si>
  <si>
    <t>Week 22</t>
  </si>
  <si>
    <t>Week 23</t>
  </si>
  <si>
    <t>Week 24</t>
  </si>
  <si>
    <t xml:space="preserve">Week 5 </t>
  </si>
  <si>
    <t>WEEK 6                                 Heading</t>
  </si>
  <si>
    <t>WEEK 7                                 Heading</t>
  </si>
  <si>
    <t xml:space="preserve">Week 8 </t>
  </si>
  <si>
    <t>WEEK 9                                 Milk Stage</t>
  </si>
  <si>
    <t>WEEK 10                                 Milk Stage</t>
  </si>
  <si>
    <t>Week 1</t>
  </si>
  <si>
    <t>Week 2</t>
  </si>
  <si>
    <t>Week 3</t>
  </si>
  <si>
    <t>Week 6</t>
  </si>
  <si>
    <t>Week 7</t>
  </si>
  <si>
    <t>Week 9</t>
  </si>
  <si>
    <t>Week 10</t>
  </si>
  <si>
    <t>WEEK 4                                 4 Leaf</t>
  </si>
  <si>
    <t>WEEK 5                                 6 Leaf</t>
  </si>
  <si>
    <t>WEEK 6                                 10-12 Leaf</t>
  </si>
  <si>
    <t>WEEK 7                                 10-12 Leaf</t>
  </si>
  <si>
    <t>WEEK 10                                 Full Cover</t>
  </si>
  <si>
    <t>WEEK 2                                 3 Leaf</t>
  </si>
  <si>
    <t>WEEK 6                                 12 Leaf</t>
  </si>
  <si>
    <t>WEEK 7                                 Tassel</t>
  </si>
  <si>
    <t>WEEK 8                                 Silk</t>
  </si>
  <si>
    <t>WEEK 9                                 Pollinate</t>
  </si>
  <si>
    <t>WEEK 11                                 Blister - Kernel</t>
  </si>
  <si>
    <t>WEEK 14                                 Early Dent</t>
  </si>
  <si>
    <t>WEEK 15                                 Dent</t>
  </si>
  <si>
    <t>WEEK 17                                 Black Layer</t>
  </si>
  <si>
    <t>TABLE LINKED TO IWM EVALUATION TAB</t>
  </si>
  <si>
    <t>LINKED TO TYPICAL EFFICIENCIES</t>
  </si>
  <si>
    <t>Irrigated Field Identifier:</t>
  </si>
  <si>
    <t>Data for Graph Below</t>
  </si>
  <si>
    <t>Data for Pump Graph</t>
  </si>
  <si>
    <t>That's a net saving of:</t>
  </si>
  <si>
    <t>I certify that the information on water application and soil moisture readings is accurate to be best of my abilities, and that I made a good effort to apply water accordingly.  I will implement the recommendations for improved Irrigation Water Management next season to the best of my abilities.</t>
  </si>
  <si>
    <t>Year:</t>
  </si>
  <si>
    <t>chart from Irrometer document "Soil Moisture Basics" web page:    http://www.irrometer.com/basics.html#use</t>
  </si>
  <si>
    <t>Table for IWM Evaluation Tab</t>
  </si>
  <si>
    <r>
      <t xml:space="preserve">Sensor 3 - </t>
    </r>
    <r>
      <rPr>
        <sz val="8"/>
        <rFont val="Arial"/>
        <family val="2"/>
      </rPr>
      <t>root mang depth</t>
    </r>
  </si>
  <si>
    <r>
      <t>Sensor 3 -</t>
    </r>
    <r>
      <rPr>
        <sz val="8"/>
        <rFont val="Arial"/>
        <family val="2"/>
      </rPr>
      <t xml:space="preserve"> root mang depth</t>
    </r>
  </si>
  <si>
    <t>Total Available Moisture</t>
  </si>
  <si>
    <t>Sand</t>
  </si>
  <si>
    <t>Table 9-1</t>
  </si>
  <si>
    <t>Est. Typical AWC (in/ft)</t>
  </si>
  <si>
    <t>Source - NEH Part 652</t>
  </si>
  <si>
    <t>Table 2-1</t>
  </si>
  <si>
    <t>Loamy Sand</t>
  </si>
  <si>
    <t>Sandy Clay</t>
  </si>
  <si>
    <t>Available Water Capacity by Texture (in/ft)</t>
  </si>
  <si>
    <t xml:space="preserve">Enter reading from tensiometer in the "Centibar Reading" cell </t>
  </si>
  <si>
    <t>→</t>
  </si>
  <si>
    <t>Use chart on right to estimate the Available Water Depletion (%)</t>
  </si>
  <si>
    <t>read flow meter and record value before and after each irrigation</t>
  </si>
  <si>
    <t>Any moisture stress during growth period reduces yield.  Soil moisture is generally reduced immediately before and during cutting, drying and harvesting hay.  Fall irrigation may be desirable.</t>
  </si>
  <si>
    <t>Sensitive to over-irrigation.  Silage and Grain - Needs adequate moisture from germination to dent stage for maximum production. (Grain) - Depletion of 80% or more of AWC may be allowed during final ripening period.</t>
  </si>
  <si>
    <t>Sensitive to over-irrigation.  Last irrigation at time of first set pod maturity.</t>
  </si>
  <si>
    <t>Dry Beans and Soybeans</t>
  </si>
  <si>
    <t>Sensitive to irrigation scheduling.  Restrict MAD to 30-35% of AWC.  Low quality tubers result if allowed to go into moisture stress during tuber development and growth.  Last irrigation 3-4 weeks before harvest.</t>
  </si>
  <si>
    <t>Serious Moisture Stress Symptoms</t>
  </si>
  <si>
    <t>Bluish green color, then wilting</t>
  </si>
  <si>
    <t>Leaf curl by 10am</t>
  </si>
  <si>
    <t>Dull green color, then firing of lower leaves</t>
  </si>
  <si>
    <t>Leaves wilting during midday</t>
  </si>
  <si>
    <t>Dull color, then wilting</t>
  </si>
  <si>
    <t>Darkening of leaves, then wilting</t>
  </si>
  <si>
    <t>Irrigation at planting to field capacity.  Last irrigation at milk to dough stage.  For small grains as a nurse crop, irrigate for needs of grass or alfalfa seedlings.  Critical period for malting barley is at soft dough stage to maintain a quality kernel.</t>
  </si>
  <si>
    <t>NEH part 652, Chapter 3 and ND Irrigation Guide Table 3.5</t>
  </si>
  <si>
    <t>HP</t>
  </si>
  <si>
    <t>Gross Water per Irrigation:</t>
  </si>
  <si>
    <t>Time per Irrigation Set:</t>
  </si>
  <si>
    <t>Start of Season Flow Meter Reading:</t>
  </si>
  <si>
    <t>End of Season Flow Meter Reading:</t>
  </si>
  <si>
    <t>Pump Horse Power:</t>
  </si>
  <si>
    <t>Meter Reading in…</t>
  </si>
  <si>
    <t>Gallons X 100</t>
  </si>
  <si>
    <t>Gallons X 1000</t>
  </si>
  <si>
    <t>Acre-Feet</t>
  </si>
  <si>
    <t>Acre-Feet X .001</t>
  </si>
  <si>
    <t>Acre-Feet X .01</t>
  </si>
  <si>
    <t>Acre-Inches X .01</t>
  </si>
  <si>
    <t xml:space="preserve">Beginning - flow meter reading </t>
  </si>
  <si>
    <t>After irrigation - flow meter reading</t>
  </si>
  <si>
    <t>Last Meter Reading</t>
  </si>
  <si>
    <t>from NEH Part 652, Irrigation Guide Table 3-3 - see NEH tab</t>
  </si>
  <si>
    <t xml:space="preserve">Crop List </t>
  </si>
  <si>
    <t>http://irrigationtoolbox.com/WebPages/Chapter%206.html</t>
  </si>
  <si>
    <t xml:space="preserve">Find the PDF in the Irrigation Toolbox:  </t>
  </si>
  <si>
    <t>Soil Depth:</t>
  </si>
  <si>
    <t>x 5% =   .12"</t>
  </si>
  <si>
    <t>x 10% =  .32"</t>
  </si>
  <si>
    <t>x 15% =  .30"</t>
  </si>
  <si>
    <t xml:space="preserve"> estimated depletion</t>
  </si>
  <si>
    <t>use onsite data if possible!  default depths from NEH Part 652, Irrigation Guide Table 3-4 - see NEH tab</t>
  </si>
  <si>
    <t>Calculated Available Moisture</t>
  </si>
  <si>
    <t>Assisted by:</t>
  </si>
  <si>
    <t>CLICK HERE &amp; PASTE RAINFALL AND/OR PET NDAWN DATA   (overwrite this text!)</t>
  </si>
  <si>
    <r>
      <t xml:space="preserve">Available Soil Moisture </t>
    </r>
    <r>
      <rPr>
        <sz val="8"/>
        <rFont val="Arial"/>
        <family val="2"/>
      </rPr>
      <t>(inch/root mang. depth)</t>
    </r>
  </si>
  <si>
    <r>
      <t>Available Soil Moisture</t>
    </r>
    <r>
      <rPr>
        <sz val="8"/>
        <rFont val="Arial"/>
        <family val="2"/>
      </rPr>
      <t xml:space="preserve"> (inch/root mang. depth)</t>
    </r>
  </si>
  <si>
    <r>
      <t>Net Irrigation</t>
    </r>
    <r>
      <rPr>
        <sz val="8"/>
        <rFont val="Arial"/>
        <family val="2"/>
      </rPr>
      <t xml:space="preserve"> (inches)</t>
    </r>
  </si>
  <si>
    <r>
      <t>Rainfall</t>
    </r>
    <r>
      <rPr>
        <sz val="8"/>
        <rFont val="Arial"/>
        <family val="2"/>
      </rPr>
      <t xml:space="preserve">             (inches)</t>
    </r>
  </si>
  <si>
    <r>
      <t xml:space="preserve">Rainfall             </t>
    </r>
    <r>
      <rPr>
        <sz val="8"/>
        <rFont val="Arial"/>
        <family val="2"/>
      </rPr>
      <t>(inches)</t>
    </r>
  </si>
  <si>
    <t>http://ndawn.ndsu.nodak.edu/</t>
  </si>
  <si>
    <t>1/11/1111</t>
  </si>
  <si>
    <t>example:  producer turned on water for irrigaiton system</t>
  </si>
  <si>
    <t>will populate from the Net Irrigation Calculator - or override if not using the calculator</t>
  </si>
  <si>
    <t>determine using IWRpm NRCS Software</t>
  </si>
  <si>
    <t>use soil moisture meter or see 'feel and appearance' tab</t>
  </si>
  <si>
    <t>Types of Systems</t>
  </si>
  <si>
    <t>Center Pivot</t>
  </si>
  <si>
    <t>Graded Boarder</t>
  </si>
  <si>
    <t>Level Border</t>
  </si>
  <si>
    <t>Level Furrow</t>
  </si>
  <si>
    <t>Graded Furrow</t>
  </si>
  <si>
    <t>Controlled Flood</t>
  </si>
  <si>
    <t>Uncontrolled Flood</t>
  </si>
  <si>
    <t>Surge Irrigation</t>
  </si>
  <si>
    <t>Center Pivot with VRI</t>
  </si>
  <si>
    <t>Lateral Move</t>
  </si>
  <si>
    <t>Hand Move</t>
  </si>
  <si>
    <t>Solid Set</t>
  </si>
  <si>
    <t>Starting Available Soil Moisture:</t>
  </si>
  <si>
    <t>inches/root mang. zone</t>
  </si>
  <si>
    <t>tensiometer figure from: http://www.irrometer.com/basics.html#use</t>
  </si>
  <si>
    <t>Beginning Flow Meter Reading</t>
  </si>
  <si>
    <t>Ac-FT</t>
  </si>
  <si>
    <t>Units Are</t>
  </si>
  <si>
    <t>Convert TO</t>
  </si>
  <si>
    <t>ACRE FEET</t>
  </si>
  <si>
    <t>BEGINNING FLOW</t>
  </si>
  <si>
    <t>END FLOW</t>
  </si>
  <si>
    <t>LAST METER READING</t>
  </si>
  <si>
    <t>NEH part 652, Irrigation Guide, Table 3-3</t>
  </si>
  <si>
    <t>Linear Pivot</t>
  </si>
  <si>
    <t>Wheel Line</t>
  </si>
  <si>
    <t>Hand/K Line</t>
  </si>
  <si>
    <t>Graded Border</t>
  </si>
  <si>
    <t>Furrow</t>
  </si>
  <si>
    <t>Contour Ditches</t>
  </si>
  <si>
    <t>Begin Date</t>
  </si>
  <si>
    <t>End Date</t>
  </si>
  <si>
    <t>MAD</t>
  </si>
  <si>
    <t>Field Cap</t>
  </si>
  <si>
    <t>Irrigation Season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</si>
</sst>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m/d;@"/>
    <numFmt numFmtId="165" formatCode="0.0"/>
    <numFmt numFmtId="166" formatCode="0.0%"/>
    <numFmt numFmtId="167" formatCode="0.000"/>
    <numFmt numFmtId="168" formatCode="yyyy"/>
    <numFmt numFmtId="169" formatCode="0.00;\-0.00;;@"/>
    <numFmt numFmtId="170" formatCode="[&lt;=9999999]###\-####;\(###\)\ ###\-####"/>
    <numFmt numFmtId="171" formatCode="0\ &quot;%&quot;"/>
    <numFmt numFmtId="172" formatCode="0.00000000"/>
    <numFmt numFmtId="173" formatCode="&quot;$&quot;\ 0"/>
    <numFmt numFmtId="174" formatCode="&quot;$&quot;\ 0.000"/>
  </numFmts>
  <fonts count="75" x14ac:knownFonts="1">
    <font>
      <sz val="10"/>
      <name val="Arial"/>
    </font>
    <font>
      <sz val="10"/>
      <name val="Arial"/>
      <family val="2"/>
    </font>
    <font>
      <sz val="8"/>
      <name val="Arial"/>
      <family val="2"/>
    </font>
    <font>
      <b/>
      <sz val="10"/>
      <name val="Arial"/>
      <family val="2"/>
    </font>
    <font>
      <b/>
      <i/>
      <sz val="11"/>
      <name val="Arial"/>
      <family val="2"/>
    </font>
    <font>
      <b/>
      <i/>
      <sz val="12"/>
      <name val="Arial"/>
      <family val="2"/>
    </font>
    <font>
      <sz val="10"/>
      <color indexed="10"/>
      <name val="Arial"/>
      <family val="2"/>
    </font>
    <font>
      <b/>
      <sz val="8"/>
      <color indexed="81"/>
      <name val="Tahoma"/>
      <family val="2"/>
    </font>
    <font>
      <b/>
      <u/>
      <sz val="10"/>
      <name val="Arial"/>
      <family val="2"/>
    </font>
    <font>
      <b/>
      <sz val="10"/>
      <name val="Arial"/>
      <family val="2"/>
    </font>
    <font>
      <b/>
      <sz val="12"/>
      <name val="Arial"/>
      <family val="2"/>
    </font>
    <font>
      <b/>
      <u/>
      <sz val="12"/>
      <name val="Arial"/>
      <family val="2"/>
    </font>
    <font>
      <sz val="10"/>
      <name val="Arial"/>
      <family val="2"/>
    </font>
    <font>
      <b/>
      <i/>
      <sz val="10"/>
      <name val="Arial"/>
      <family val="2"/>
    </font>
    <font>
      <b/>
      <i/>
      <sz val="16"/>
      <name val="Arial"/>
      <family val="2"/>
    </font>
    <font>
      <sz val="11"/>
      <name val="Calibri"/>
      <family val="2"/>
      <scheme val="minor"/>
    </font>
    <font>
      <b/>
      <sz val="10"/>
      <color rgb="FFFF0000"/>
      <name val="Arial"/>
      <family val="2"/>
    </font>
    <font>
      <i/>
      <sz val="10"/>
      <name val="Arial"/>
      <family val="2"/>
    </font>
    <font>
      <u/>
      <sz val="10"/>
      <color theme="10"/>
      <name val="Arial"/>
      <family val="2"/>
    </font>
    <font>
      <i/>
      <sz val="16"/>
      <name val="Arial"/>
      <family val="2"/>
    </font>
    <font>
      <sz val="10"/>
      <color rgb="FFFF0000"/>
      <name val="Arial"/>
      <family val="2"/>
    </font>
    <font>
      <b/>
      <sz val="12"/>
      <color indexed="81"/>
      <name val="Tahoma"/>
      <family val="2"/>
    </font>
    <font>
      <b/>
      <u/>
      <sz val="12"/>
      <color rgb="FF0000FF"/>
      <name val="Arial"/>
      <family val="2"/>
    </font>
    <font>
      <b/>
      <sz val="14"/>
      <name val="Arial"/>
      <family val="2"/>
    </font>
    <font>
      <b/>
      <sz val="18"/>
      <name val="Arial"/>
      <family val="2"/>
    </font>
    <font>
      <sz val="12"/>
      <name val="Calibri"/>
      <family val="2"/>
      <scheme val="minor"/>
    </font>
    <font>
      <b/>
      <i/>
      <u/>
      <sz val="12"/>
      <name val="Calibri"/>
      <family val="2"/>
      <scheme val="minor"/>
    </font>
    <font>
      <sz val="10"/>
      <name val="Calibri"/>
      <family val="2"/>
      <scheme val="minor"/>
    </font>
    <font>
      <sz val="10"/>
      <color indexed="12"/>
      <name val="Calibri"/>
      <family val="2"/>
      <scheme val="minor"/>
    </font>
    <font>
      <b/>
      <i/>
      <sz val="12"/>
      <name val="Calibri"/>
      <family val="2"/>
      <scheme val="minor"/>
    </font>
    <font>
      <sz val="12"/>
      <color indexed="12"/>
      <name val="Calibri"/>
      <family val="2"/>
      <scheme val="minor"/>
    </font>
    <font>
      <b/>
      <sz val="10"/>
      <name val="Calibri"/>
      <family val="2"/>
      <scheme val="minor"/>
    </font>
    <font>
      <b/>
      <sz val="10"/>
      <color indexed="12"/>
      <name val="Calibri"/>
      <family val="2"/>
      <scheme val="minor"/>
    </font>
    <font>
      <b/>
      <sz val="12"/>
      <name val="Calibri"/>
      <family val="2"/>
      <scheme val="minor"/>
    </font>
    <font>
      <sz val="10"/>
      <color indexed="10"/>
      <name val="Calibri"/>
      <family val="2"/>
      <scheme val="minor"/>
    </font>
    <font>
      <b/>
      <sz val="10"/>
      <color indexed="10"/>
      <name val="Calibri"/>
      <family val="2"/>
      <scheme val="minor"/>
    </font>
    <font>
      <sz val="12"/>
      <color indexed="10"/>
      <name val="Calibri"/>
      <family val="2"/>
      <scheme val="minor"/>
    </font>
    <font>
      <u/>
      <sz val="10"/>
      <color indexed="12"/>
      <name val="Calibri"/>
      <family val="2"/>
      <scheme val="minor"/>
    </font>
    <font>
      <u/>
      <sz val="10"/>
      <name val="Calibri"/>
      <family val="2"/>
      <scheme val="minor"/>
    </font>
    <font>
      <b/>
      <sz val="14"/>
      <name val="Calibri"/>
      <family val="2"/>
      <scheme val="minor"/>
    </font>
    <font>
      <sz val="12"/>
      <color rgb="FFFF0000"/>
      <name val="Calibri"/>
      <family val="2"/>
      <scheme val="minor"/>
    </font>
    <font>
      <b/>
      <sz val="12"/>
      <color indexed="10"/>
      <name val="Calibri"/>
      <family val="2"/>
      <scheme val="minor"/>
    </font>
    <font>
      <u/>
      <sz val="12"/>
      <color indexed="12"/>
      <name val="Calibri"/>
      <family val="2"/>
      <scheme val="minor"/>
    </font>
    <font>
      <u/>
      <sz val="12"/>
      <name val="Calibri"/>
      <family val="2"/>
      <scheme val="minor"/>
    </font>
    <font>
      <b/>
      <sz val="11"/>
      <name val="Calibri"/>
      <family val="2"/>
      <scheme val="minor"/>
    </font>
    <font>
      <i/>
      <sz val="10"/>
      <name val="Calibri"/>
      <family val="2"/>
      <scheme val="minor"/>
    </font>
    <font>
      <b/>
      <i/>
      <sz val="12"/>
      <color rgb="FF0066FF"/>
      <name val="Calibri"/>
      <family val="2"/>
      <scheme val="minor"/>
    </font>
    <font>
      <b/>
      <sz val="16"/>
      <color rgb="FF0000FF"/>
      <name val="Calibri"/>
      <family val="2"/>
      <scheme val="minor"/>
    </font>
    <font>
      <sz val="11"/>
      <color indexed="81"/>
      <name val="Tahoma"/>
      <family val="2"/>
    </font>
    <font>
      <b/>
      <i/>
      <sz val="11"/>
      <color indexed="81"/>
      <name val="Tahoma"/>
      <family val="2"/>
    </font>
    <font>
      <b/>
      <sz val="11"/>
      <color indexed="81"/>
      <name val="Tahoma"/>
      <family val="2"/>
    </font>
    <font>
      <b/>
      <sz val="10"/>
      <color indexed="81"/>
      <name val="Tahoma"/>
      <family val="2"/>
    </font>
    <font>
      <b/>
      <u/>
      <sz val="12"/>
      <name val="Calibri"/>
      <family val="2"/>
      <scheme val="minor"/>
    </font>
    <font>
      <b/>
      <i/>
      <u/>
      <sz val="18"/>
      <name val="Calibri"/>
      <family val="2"/>
      <scheme val="minor"/>
    </font>
    <font>
      <sz val="12"/>
      <color rgb="FF0000FF"/>
      <name val="Calibri"/>
      <family val="2"/>
      <scheme val="minor"/>
    </font>
    <font>
      <sz val="12"/>
      <name val="Calibri"/>
      <family val="2"/>
    </font>
    <font>
      <sz val="12"/>
      <color rgb="FF0000FF"/>
      <name val="Calibri"/>
      <family val="2"/>
    </font>
    <font>
      <sz val="10"/>
      <color rgb="FF0000FF"/>
      <name val="Calibri"/>
      <family val="2"/>
      <scheme val="minor"/>
    </font>
    <font>
      <i/>
      <sz val="9"/>
      <name val="Calibri"/>
      <family val="2"/>
      <scheme val="minor"/>
    </font>
    <font>
      <b/>
      <u/>
      <sz val="10"/>
      <name val="Calibri"/>
      <family val="2"/>
      <scheme val="minor"/>
    </font>
    <font>
      <b/>
      <sz val="10"/>
      <color rgb="FFFF0000"/>
      <name val="Calibri"/>
      <family val="2"/>
      <scheme val="minor"/>
    </font>
    <font>
      <u/>
      <sz val="10"/>
      <color theme="10"/>
      <name val="Calibri"/>
      <family val="2"/>
      <scheme val="minor"/>
    </font>
    <font>
      <b/>
      <sz val="10"/>
      <color rgb="FF0000FF"/>
      <name val="Calibri"/>
      <family val="2"/>
      <scheme val="minor"/>
    </font>
    <font>
      <sz val="10"/>
      <name val="Arial"/>
      <family val="2"/>
    </font>
    <font>
      <b/>
      <sz val="11"/>
      <color indexed="10"/>
      <name val="Tahoma"/>
      <family val="2"/>
    </font>
    <font>
      <b/>
      <u/>
      <sz val="11"/>
      <color indexed="10"/>
      <name val="Tahoma"/>
      <family val="2"/>
    </font>
    <font>
      <b/>
      <sz val="8"/>
      <color rgb="FFFF0000"/>
      <name val="Arial"/>
      <family val="2"/>
    </font>
    <font>
      <i/>
      <sz val="11"/>
      <color rgb="FF000000"/>
      <name val="Arial"/>
      <family val="2"/>
    </font>
    <font>
      <sz val="10"/>
      <color indexed="81"/>
      <name val="Tahoma"/>
      <family val="2"/>
    </font>
    <font>
      <sz val="22"/>
      <name val="Calibri"/>
      <family val="2"/>
    </font>
    <font>
      <sz val="9"/>
      <name val="Calibri"/>
      <family val="2"/>
      <scheme val="minor"/>
    </font>
    <font>
      <sz val="11"/>
      <name val="Calibri"/>
      <family val="2"/>
    </font>
    <font>
      <sz val="7"/>
      <name val="Times New Roman"/>
      <family val="1"/>
    </font>
    <font>
      <b/>
      <i/>
      <sz val="9"/>
      <name val="Calibri"/>
      <family val="2"/>
      <scheme val="minor"/>
    </font>
    <font>
      <sz val="12"/>
      <color rgb="FF0066FF"/>
      <name val="Calibri"/>
      <family val="2"/>
      <scheme val="minor"/>
    </font>
  </fonts>
  <fills count="11">
    <fill>
      <patternFill patternType="none"/>
    </fill>
    <fill>
      <patternFill patternType="gray125"/>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DCFAC0"/>
        <bgColor indexed="64"/>
      </patternFill>
    </fill>
    <fill>
      <patternFill patternType="solid">
        <fgColor theme="7" tint="0.79998168889431442"/>
        <bgColor indexed="64"/>
      </patternFill>
    </fill>
    <fill>
      <patternFill patternType="solid">
        <fgColor theme="5"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theme="2" tint="-9.9917600024414813E-2"/>
      </top>
      <bottom style="thin">
        <color theme="2" tint="-9.9917600024414813E-2"/>
      </bottom>
      <diagonal/>
    </border>
    <border>
      <left/>
      <right/>
      <top/>
      <bottom style="thin">
        <color theme="2" tint="-9.9917600024414813E-2"/>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ck">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ck">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ck">
        <color indexed="64"/>
      </top>
      <bottom style="medium">
        <color indexed="64"/>
      </bottom>
      <diagonal/>
    </border>
    <border>
      <left style="medium">
        <color indexed="64"/>
      </left>
      <right style="thick">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ck">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ck">
        <color indexed="64"/>
      </top>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8" fillId="0" borderId="0" applyNumberFormat="0" applyFill="0" applyBorder="0" applyAlignment="0" applyProtection="0">
      <alignment vertical="top"/>
      <protection locked="0"/>
    </xf>
    <xf numFmtId="44" fontId="63" fillId="0" borderId="0" applyFont="0" applyFill="0" applyBorder="0" applyAlignment="0" applyProtection="0"/>
    <xf numFmtId="0" fontId="1" fillId="0" borderId="0"/>
  </cellStyleXfs>
  <cellXfs count="587">
    <xf numFmtId="0" fontId="0" fillId="0" borderId="0" xfId="0"/>
    <xf numFmtId="0" fontId="4" fillId="0" borderId="0" xfId="0" applyFont="1" applyFill="1" applyBorder="1" applyAlignment="1">
      <alignment horizontal="left"/>
    </xf>
    <xf numFmtId="0" fontId="0" fillId="0" borderId="0" xfId="0" applyFill="1" applyBorder="1"/>
    <xf numFmtId="0" fontId="0" fillId="0" borderId="0" xfId="0" applyBorder="1"/>
    <xf numFmtId="0" fontId="1" fillId="0" borderId="0" xfId="0" applyFont="1"/>
    <xf numFmtId="2" fontId="0" fillId="0" borderId="0" xfId="0" applyNumberFormat="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0" fontId="1" fillId="0" borderId="0" xfId="0" applyFont="1" applyBorder="1"/>
    <xf numFmtId="0" fontId="0" fillId="0" borderId="0" xfId="0" applyFill="1" applyBorder="1" applyAlignment="1">
      <alignment horizontal="center"/>
    </xf>
    <xf numFmtId="0" fontId="10" fillId="0" borderId="0" xfId="0" applyFont="1" applyBorder="1"/>
    <xf numFmtId="0" fontId="8" fillId="0" borderId="0" xfId="0" applyFont="1" applyBorder="1"/>
    <xf numFmtId="0" fontId="5" fillId="0" borderId="0" xfId="0" applyFont="1" applyBorder="1"/>
    <xf numFmtId="0" fontId="4" fillId="0" borderId="0" xfId="0" applyFont="1" applyBorder="1"/>
    <xf numFmtId="2" fontId="0" fillId="0" borderId="0" xfId="0" quotePrefix="1" applyNumberFormat="1" applyBorder="1" applyAlignment="1">
      <alignment horizontal="center"/>
    </xf>
    <xf numFmtId="9" fontId="0" fillId="0" borderId="0" xfId="0" applyNumberFormat="1" applyBorder="1" applyAlignment="1">
      <alignment horizontal="center"/>
    </xf>
    <xf numFmtId="0" fontId="12" fillId="0" borderId="0" xfId="0" applyFont="1" applyBorder="1" applyAlignment="1">
      <alignment horizontal="center"/>
    </xf>
    <xf numFmtId="0" fontId="0" fillId="0" borderId="0" xfId="0" applyBorder="1" applyAlignment="1">
      <alignment horizontal="center" vertical="center" wrapText="1"/>
    </xf>
    <xf numFmtId="0" fontId="1" fillId="0" borderId="0" xfId="0" applyFont="1" applyBorder="1" applyAlignment="1">
      <alignment horizontal="center"/>
    </xf>
    <xf numFmtId="0" fontId="1" fillId="0" borderId="0" xfId="0" applyFont="1" applyFill="1" applyBorder="1" applyAlignment="1">
      <alignment horizontal="center"/>
    </xf>
    <xf numFmtId="0" fontId="13" fillId="0" borderId="0" xfId="0" applyFont="1"/>
    <xf numFmtId="2" fontId="0" fillId="0" borderId="0" xfId="0" applyNumberFormat="1" applyAlignment="1" applyProtection="1">
      <alignment horizontal="center"/>
    </xf>
    <xf numFmtId="0" fontId="1" fillId="0" borderId="0" xfId="0" applyFont="1" applyFill="1" applyBorder="1"/>
    <xf numFmtId="2" fontId="0" fillId="0" borderId="0" xfId="0" applyNumberFormat="1" applyProtection="1"/>
    <xf numFmtId="2" fontId="1" fillId="0" borderId="9" xfId="0" applyNumberFormat="1" applyFont="1" applyBorder="1" applyAlignment="1" applyProtection="1">
      <alignment horizontal="center" wrapText="1"/>
    </xf>
    <xf numFmtId="2" fontId="1" fillId="0" borderId="5" xfId="0" applyNumberFormat="1" applyFont="1" applyBorder="1" applyAlignment="1" applyProtection="1">
      <alignment horizontal="center"/>
    </xf>
    <xf numFmtId="2" fontId="3" fillId="0" borderId="7" xfId="0" applyNumberFormat="1" applyFont="1" applyBorder="1" applyAlignment="1" applyProtection="1">
      <alignment horizontal="center"/>
    </xf>
    <xf numFmtId="0" fontId="24" fillId="0" borderId="0" xfId="0" applyFont="1" applyAlignment="1" applyProtection="1">
      <alignment horizontal="right"/>
    </xf>
    <xf numFmtId="0" fontId="14" fillId="0" borderId="0" xfId="0" applyFont="1" applyAlignment="1">
      <alignment horizontal="right"/>
    </xf>
    <xf numFmtId="0" fontId="25" fillId="0" borderId="0" xfId="0" applyFont="1"/>
    <xf numFmtId="0" fontId="27" fillId="0" borderId="0" xfId="0" applyNumberFormat="1" applyFont="1" applyBorder="1" applyAlignment="1" applyProtection="1">
      <alignment horizontal="center" shrinkToFit="1"/>
      <protection hidden="1"/>
    </xf>
    <xf numFmtId="0" fontId="27" fillId="0" borderId="0" xfId="0" applyFont="1" applyBorder="1" applyAlignment="1" applyProtection="1">
      <alignment horizontal="center" shrinkToFit="1"/>
      <protection hidden="1"/>
    </xf>
    <xf numFmtId="0" fontId="27" fillId="0" borderId="0" xfId="0" applyFont="1" applyBorder="1" applyAlignment="1" applyProtection="1">
      <alignment horizontal="left" shrinkToFit="1"/>
      <protection hidden="1"/>
    </xf>
    <xf numFmtId="0" fontId="25" fillId="0" borderId="0" xfId="0" applyFont="1" applyBorder="1"/>
    <xf numFmtId="0" fontId="27" fillId="0" borderId="0" xfId="0" applyFont="1" applyBorder="1" applyProtection="1"/>
    <xf numFmtId="0" fontId="33" fillId="0" borderId="0" xfId="0" applyFont="1"/>
    <xf numFmtId="0" fontId="25" fillId="0" borderId="0" xfId="0" applyFont="1" applyBorder="1" applyAlignment="1" applyProtection="1">
      <alignment horizontal="center" shrinkToFit="1"/>
      <protection hidden="1"/>
    </xf>
    <xf numFmtId="0" fontId="25" fillId="0" borderId="2" xfId="0" applyFont="1" applyBorder="1"/>
    <xf numFmtId="0" fontId="25" fillId="0" borderId="0" xfId="0" applyFont="1" applyBorder="1" applyProtection="1"/>
    <xf numFmtId="0" fontId="29" fillId="0" borderId="0" xfId="0" applyFont="1"/>
    <xf numFmtId="0" fontId="25" fillId="0" borderId="10" xfId="0" applyFont="1" applyBorder="1"/>
    <xf numFmtId="0" fontId="25" fillId="0" borderId="11" xfId="0" applyFont="1" applyBorder="1" applyAlignment="1">
      <alignment horizontal="center"/>
    </xf>
    <xf numFmtId="0" fontId="25" fillId="0" borderId="9" xfId="0" applyFont="1" applyBorder="1"/>
    <xf numFmtId="0" fontId="33" fillId="0" borderId="2" xfId="0" applyFont="1" applyBorder="1" applyAlignment="1">
      <alignment horizontal="center"/>
    </xf>
    <xf numFmtId="0" fontId="25" fillId="0" borderId="1" xfId="0" applyFont="1" applyBorder="1"/>
    <xf numFmtId="0" fontId="25" fillId="0" borderId="3" xfId="0" applyFont="1" applyBorder="1"/>
    <xf numFmtId="0" fontId="25" fillId="0" borderId="10" xfId="0" applyFont="1" applyFill="1" applyBorder="1"/>
    <xf numFmtId="0" fontId="25" fillId="0" borderId="5" xfId="0" applyFont="1" applyBorder="1"/>
    <xf numFmtId="0" fontId="25" fillId="0" borderId="1" xfId="0" applyFont="1" applyFill="1" applyBorder="1"/>
    <xf numFmtId="0" fontId="25" fillId="0" borderId="8" xfId="0" applyFont="1" applyBorder="1"/>
    <xf numFmtId="0" fontId="25" fillId="0" borderId="7" xfId="0" applyFont="1" applyBorder="1"/>
    <xf numFmtId="0" fontId="25" fillId="0" borderId="11" xfId="0" applyNumberFormat="1" applyFont="1" applyBorder="1" applyAlignment="1">
      <alignment horizontal="center"/>
    </xf>
    <xf numFmtId="0" fontId="25" fillId="0" borderId="7" xfId="0" applyFont="1" applyBorder="1" applyAlignment="1">
      <alignment wrapText="1"/>
    </xf>
    <xf numFmtId="0" fontId="27" fillId="0" borderId="0" xfId="0" applyFont="1" applyProtection="1"/>
    <xf numFmtId="0" fontId="0" fillId="0" borderId="0" xfId="0" applyFill="1" applyBorder="1" applyProtection="1"/>
    <xf numFmtId="0" fontId="27" fillId="0" borderId="0" xfId="0" applyFont="1" applyFill="1" applyBorder="1" applyProtection="1"/>
    <xf numFmtId="0" fontId="33" fillId="0" borderId="0" xfId="0" applyFont="1" applyProtection="1"/>
    <xf numFmtId="0" fontId="25" fillId="0" borderId="0" xfId="0" applyFont="1" applyAlignment="1" applyProtection="1">
      <alignment horizontal="center"/>
    </xf>
    <xf numFmtId="0" fontId="25" fillId="0" borderId="0" xfId="0" applyFont="1" applyBorder="1" applyAlignment="1">
      <alignment wrapText="1"/>
    </xf>
    <xf numFmtId="14" fontId="45" fillId="0" borderId="17" xfId="0" applyNumberFormat="1" applyFont="1" applyBorder="1" applyAlignment="1" applyProtection="1">
      <alignment horizontal="center" wrapText="1"/>
      <protection locked="0"/>
    </xf>
    <xf numFmtId="14" fontId="25" fillId="0" borderId="17" xfId="0" applyNumberFormat="1" applyFont="1" applyBorder="1" applyAlignment="1" applyProtection="1">
      <alignment horizontal="center" wrapText="1"/>
      <protection locked="0"/>
    </xf>
    <xf numFmtId="14" fontId="25" fillId="0" borderId="18" xfId="0" applyNumberFormat="1" applyFont="1" applyBorder="1" applyAlignment="1" applyProtection="1">
      <alignment horizontal="center" wrapText="1"/>
      <protection locked="0"/>
    </xf>
    <xf numFmtId="2" fontId="25" fillId="0" borderId="0" xfId="0" applyNumberFormat="1" applyFont="1" applyFill="1" applyBorder="1" applyAlignment="1" applyProtection="1">
      <alignment horizontal="center"/>
    </xf>
    <xf numFmtId="0" fontId="25" fillId="0" borderId="0" xfId="0" applyFont="1" applyFill="1"/>
    <xf numFmtId="0" fontId="0" fillId="4" borderId="0" xfId="0" applyFill="1"/>
    <xf numFmtId="0" fontId="0" fillId="0" borderId="0" xfId="0" applyNumberFormat="1" applyFill="1" applyBorder="1" applyAlignment="1" applyProtection="1">
      <alignment horizontal="center"/>
    </xf>
    <xf numFmtId="0" fontId="1" fillId="4" borderId="0" xfId="0" applyFont="1" applyFill="1" applyBorder="1"/>
    <xf numFmtId="0" fontId="29" fillId="0" borderId="0" xfId="0" applyFont="1" applyFill="1" applyBorder="1" applyAlignment="1"/>
    <xf numFmtId="0" fontId="1" fillId="0" borderId="1" xfId="0" applyFont="1" applyFill="1" applyBorder="1"/>
    <xf numFmtId="0" fontId="0" fillId="0" borderId="1" xfId="0" applyFill="1" applyBorder="1" applyAlignment="1">
      <alignment horizontal="center"/>
    </xf>
    <xf numFmtId="0" fontId="1" fillId="0" borderId="1" xfId="0" applyFont="1" applyFill="1" applyBorder="1" applyAlignment="1">
      <alignment horizontal="center"/>
    </xf>
    <xf numFmtId="2" fontId="17" fillId="0" borderId="0" xfId="0" applyNumberFormat="1" applyFont="1" applyFill="1" applyBorder="1" applyProtection="1"/>
    <xf numFmtId="2" fontId="17" fillId="0" borderId="0" xfId="0" applyNumberFormat="1" applyFont="1" applyFill="1" applyBorder="1" applyAlignment="1" applyProtection="1">
      <alignment horizontal="center" wrapText="1"/>
    </xf>
    <xf numFmtId="2" fontId="17" fillId="0" borderId="0" xfId="0" applyNumberFormat="1" applyFont="1" applyFill="1" applyBorder="1" applyAlignment="1" applyProtection="1">
      <alignment horizontal="center"/>
    </xf>
    <xf numFmtId="0" fontId="25" fillId="0" borderId="0" xfId="0" applyFont="1" applyBorder="1" applyAlignment="1">
      <alignment wrapText="1"/>
    </xf>
    <xf numFmtId="0" fontId="25" fillId="0" borderId="5" xfId="0" applyFont="1" applyBorder="1" applyAlignment="1">
      <alignment vertical="center" wrapText="1"/>
    </xf>
    <xf numFmtId="0" fontId="25" fillId="0" borderId="0" xfId="0" applyFont="1" applyBorder="1" applyAlignment="1">
      <alignment horizontal="center" vertical="center" wrapText="1"/>
    </xf>
    <xf numFmtId="0" fontId="33" fillId="0" borderId="3" xfId="0" applyFont="1" applyBorder="1"/>
    <xf numFmtId="0" fontId="33" fillId="0" borderId="8" xfId="0" applyFont="1" applyBorder="1"/>
    <xf numFmtId="0" fontId="3" fillId="0" borderId="0" xfId="0" applyFont="1" applyFill="1" applyBorder="1" applyAlignment="1">
      <alignment horizontal="center" wrapText="1"/>
    </xf>
    <xf numFmtId="0" fontId="3" fillId="0" borderId="0" xfId="0" applyFont="1" applyFill="1" applyAlignment="1">
      <alignment wrapText="1"/>
    </xf>
    <xf numFmtId="0" fontId="15" fillId="5" borderId="13" xfId="0" applyNumberFormat="1" applyFont="1" applyFill="1" applyBorder="1" applyAlignment="1" applyProtection="1">
      <alignment horizontal="center"/>
      <protection locked="0"/>
    </xf>
    <xf numFmtId="170" fontId="15" fillId="5" borderId="12" xfId="0" applyNumberFormat="1" applyFont="1" applyFill="1" applyBorder="1" applyAlignment="1" applyProtection="1">
      <alignment horizontal="center"/>
      <protection locked="0"/>
    </xf>
    <xf numFmtId="0" fontId="15" fillId="5" borderId="12" xfId="0" applyNumberFormat="1" applyFont="1" applyFill="1" applyBorder="1" applyAlignment="1" applyProtection="1">
      <alignment horizontal="center"/>
      <protection locked="0"/>
    </xf>
    <xf numFmtId="0" fontId="15" fillId="5" borderId="12" xfId="0" applyFont="1" applyFill="1" applyBorder="1" applyAlignment="1" applyProtection="1">
      <alignment horizontal="center"/>
      <protection locked="0"/>
    </xf>
    <xf numFmtId="14" fontId="15" fillId="5" borderId="12" xfId="0" applyNumberFormat="1" applyFont="1" applyFill="1" applyBorder="1" applyAlignment="1" applyProtection="1">
      <alignment horizontal="center"/>
      <protection locked="0"/>
    </xf>
    <xf numFmtId="0" fontId="15" fillId="5" borderId="13" xfId="0" applyFont="1" applyFill="1" applyBorder="1" applyAlignment="1" applyProtection="1">
      <alignment horizontal="center"/>
      <protection locked="0"/>
    </xf>
    <xf numFmtId="0" fontId="15" fillId="5" borderId="12" xfId="0" applyNumberFormat="1" applyFont="1" applyFill="1" applyBorder="1" applyAlignment="1" applyProtection="1">
      <alignment horizontal="center" shrinkToFit="1"/>
      <protection locked="0"/>
    </xf>
    <xf numFmtId="14" fontId="0" fillId="5" borderId="3" xfId="0" applyNumberFormat="1" applyFill="1" applyBorder="1" applyAlignment="1" applyProtection="1">
      <alignment horizontal="center"/>
      <protection locked="0"/>
    </xf>
    <xf numFmtId="0" fontId="1" fillId="5" borderId="0" xfId="0" applyNumberFormat="1" applyFont="1" applyFill="1" applyBorder="1" applyAlignment="1" applyProtection="1">
      <alignment horizontal="center"/>
      <protection locked="0"/>
    </xf>
    <xf numFmtId="0" fontId="0" fillId="5" borderId="0" xfId="0" applyNumberFormat="1" applyFill="1" applyBorder="1" applyAlignment="1" applyProtection="1">
      <alignment horizontal="center"/>
      <protection locked="0"/>
    </xf>
    <xf numFmtId="14" fontId="1" fillId="5" borderId="3" xfId="0" applyNumberFormat="1" applyFont="1" applyFill="1" applyBorder="1" applyAlignment="1" applyProtection="1">
      <alignment horizontal="center"/>
      <protection locked="0"/>
    </xf>
    <xf numFmtId="0" fontId="0" fillId="0" borderId="0" xfId="0" applyFill="1" applyBorder="1" applyAlignment="1" applyProtection="1">
      <alignment horizontal="center" shrinkToFit="1"/>
      <protection hidden="1"/>
    </xf>
    <xf numFmtId="0" fontId="23" fillId="0" borderId="0" xfId="0" applyFont="1" applyFill="1" applyBorder="1" applyAlignment="1" applyProtection="1">
      <alignment horizontal="right"/>
      <protection hidden="1"/>
    </xf>
    <xf numFmtId="2" fontId="28" fillId="2" borderId="0" xfId="0" applyNumberFormat="1" applyFont="1" applyFill="1" applyProtection="1"/>
    <xf numFmtId="0" fontId="0" fillId="2" borderId="0" xfId="0" applyFill="1" applyProtection="1"/>
    <xf numFmtId="0" fontId="28" fillId="2" borderId="0" xfId="0" applyFont="1" applyFill="1" applyProtection="1"/>
    <xf numFmtId="0" fontId="38" fillId="2" borderId="0" xfId="0" applyFont="1" applyFill="1" applyProtection="1"/>
    <xf numFmtId="0" fontId="28"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right"/>
    </xf>
    <xf numFmtId="0" fontId="57" fillId="2" borderId="0" xfId="0" applyFont="1" applyFill="1" applyAlignment="1" applyProtection="1">
      <alignment horizontal="center"/>
    </xf>
    <xf numFmtId="0" fontId="57" fillId="2" borderId="0" xfId="0" applyNumberFormat="1" applyFont="1" applyFill="1" applyBorder="1" applyAlignment="1" applyProtection="1">
      <alignment horizontal="center" shrinkToFit="1"/>
    </xf>
    <xf numFmtId="0" fontId="61" fillId="2" borderId="0" xfId="1" applyFont="1" applyFill="1" applyAlignment="1" applyProtection="1"/>
    <xf numFmtId="0" fontId="37" fillId="2" borderId="0" xfId="1" applyFont="1" applyFill="1" applyAlignment="1" applyProtection="1"/>
    <xf numFmtId="0" fontId="0" fillId="2" borderId="0" xfId="0" applyFill="1" applyBorder="1" applyProtection="1"/>
    <xf numFmtId="2" fontId="62" fillId="2" borderId="0" xfId="0" applyNumberFormat="1" applyFont="1" applyFill="1" applyAlignment="1" applyProtection="1">
      <alignment horizontal="center"/>
    </xf>
    <xf numFmtId="2" fontId="28" fillId="6" borderId="0" xfId="0" applyNumberFormat="1" applyFont="1" applyFill="1" applyProtection="1"/>
    <xf numFmtId="0" fontId="27" fillId="6" borderId="0" xfId="0" applyFont="1" applyFill="1" applyProtection="1"/>
    <xf numFmtId="0" fontId="28" fillId="6" borderId="0" xfId="0" applyFont="1" applyFill="1" applyProtection="1"/>
    <xf numFmtId="0" fontId="38" fillId="6" borderId="0" xfId="0" applyFont="1" applyFill="1" applyProtection="1"/>
    <xf numFmtId="0" fontId="28" fillId="6" borderId="0" xfId="0" applyFont="1" applyFill="1" applyAlignment="1" applyProtection="1">
      <alignment horizontal="center"/>
    </xf>
    <xf numFmtId="0" fontId="27" fillId="6" borderId="0" xfId="0" applyFont="1" applyFill="1" applyAlignment="1" applyProtection="1">
      <alignment horizontal="right"/>
    </xf>
    <xf numFmtId="0" fontId="57" fillId="6" borderId="0" xfId="0" applyFont="1" applyFill="1" applyAlignment="1" applyProtection="1">
      <alignment horizontal="center"/>
    </xf>
    <xf numFmtId="0" fontId="57" fillId="6" borderId="0" xfId="0" applyNumberFormat="1" applyFont="1" applyFill="1" applyBorder="1" applyAlignment="1" applyProtection="1">
      <alignment horizontal="center" shrinkToFit="1"/>
    </xf>
    <xf numFmtId="2" fontId="62" fillId="6" borderId="0" xfId="0" applyNumberFormat="1" applyFont="1" applyFill="1" applyAlignment="1" applyProtection="1">
      <alignment horizontal="center"/>
    </xf>
    <xf numFmtId="169" fontId="0" fillId="7" borderId="22" xfId="0" applyNumberFormat="1" applyFill="1" applyBorder="1" applyAlignment="1" applyProtection="1">
      <alignment horizontal="center" shrinkToFit="1"/>
      <protection locked="0"/>
    </xf>
    <xf numFmtId="0" fontId="16" fillId="5" borderId="22" xfId="0" applyFont="1" applyFill="1" applyBorder="1" applyAlignment="1" applyProtection="1">
      <alignment horizontal="center" shrinkToFit="1"/>
      <protection locked="0"/>
    </xf>
    <xf numFmtId="0" fontId="16" fillId="5" borderId="22" xfId="0" applyFont="1" applyFill="1" applyBorder="1" applyAlignment="1" applyProtection="1">
      <alignment horizontal="center"/>
      <protection locked="0"/>
    </xf>
    <xf numFmtId="14" fontId="25" fillId="5" borderId="1" xfId="0" applyNumberFormat="1" applyFont="1" applyFill="1" applyBorder="1" applyAlignment="1" applyProtection="1">
      <alignment horizontal="center"/>
      <protection locked="0"/>
    </xf>
    <xf numFmtId="14" fontId="25" fillId="5" borderId="22" xfId="0" applyNumberFormat="1" applyFont="1" applyFill="1" applyBorder="1" applyAlignment="1" applyProtection="1">
      <alignment horizontal="center"/>
      <protection locked="0"/>
    </xf>
    <xf numFmtId="2" fontId="25" fillId="0" borderId="0" xfId="0" applyNumberFormat="1" applyFont="1" applyAlignment="1" applyProtection="1">
      <alignment horizontal="center"/>
    </xf>
    <xf numFmtId="0" fontId="71" fillId="0" borderId="0" xfId="0" applyFont="1" applyAlignment="1">
      <alignment horizontal="left" vertical="center" indent="2"/>
    </xf>
    <xf numFmtId="0" fontId="71" fillId="0" borderId="0" xfId="0" applyFont="1" applyAlignment="1">
      <alignment vertical="center"/>
    </xf>
    <xf numFmtId="0" fontId="71" fillId="0" borderId="0" xfId="0" applyFont="1" applyAlignment="1">
      <alignment horizontal="left" vertical="center" indent="6"/>
    </xf>
    <xf numFmtId="0" fontId="72" fillId="0" borderId="0" xfId="0" applyFont="1" applyAlignment="1">
      <alignment horizontal="left" vertical="center" indent="10"/>
    </xf>
    <xf numFmtId="0" fontId="71" fillId="0" borderId="0" xfId="0" applyFont="1" applyAlignment="1">
      <alignment horizontal="left" vertical="center" indent="14"/>
    </xf>
    <xf numFmtId="171" fontId="15" fillId="5" borderId="12" xfId="0" applyNumberFormat="1" applyFont="1" applyFill="1" applyBorder="1" applyAlignment="1" applyProtection="1">
      <alignment horizontal="center"/>
      <protection locked="0"/>
    </xf>
    <xf numFmtId="2" fontId="25" fillId="5" borderId="22" xfId="0" applyNumberFormat="1" applyFont="1" applyFill="1" applyBorder="1" applyAlignment="1" applyProtection="1">
      <alignment horizontal="center"/>
      <protection locked="0"/>
    </xf>
    <xf numFmtId="2" fontId="25" fillId="5" borderId="1" xfId="0" applyNumberFormat="1" applyFont="1" applyFill="1" applyBorder="1" applyAlignment="1" applyProtection="1">
      <alignment horizontal="center"/>
      <protection locked="0"/>
    </xf>
    <xf numFmtId="2" fontId="25" fillId="0" borderId="0" xfId="0" applyNumberFormat="1" applyFont="1" applyBorder="1" applyAlignment="1" applyProtection="1">
      <alignment horizontal="center"/>
    </xf>
    <xf numFmtId="0" fontId="15" fillId="7" borderId="12" xfId="0" applyFont="1" applyFill="1" applyBorder="1" applyAlignment="1" applyProtection="1">
      <alignment horizontal="center"/>
      <protection locked="0"/>
    </xf>
    <xf numFmtId="2" fontId="15" fillId="7" borderId="12" xfId="0" applyNumberFormat="1" applyFont="1" applyFill="1" applyBorder="1" applyAlignment="1" applyProtection="1">
      <alignment horizontal="center" vertical="center"/>
      <protection locked="0"/>
    </xf>
    <xf numFmtId="2" fontId="15" fillId="7" borderId="12" xfId="0" applyNumberFormat="1" applyFont="1" applyFill="1" applyBorder="1" applyAlignment="1" applyProtection="1">
      <alignment horizontal="center"/>
      <protection locked="0"/>
    </xf>
    <xf numFmtId="0" fontId="3" fillId="0" borderId="0" xfId="0" applyFont="1" applyBorder="1"/>
    <xf numFmtId="0" fontId="1" fillId="0" borderId="0" xfId="0" applyFont="1" applyAlignment="1">
      <alignment wrapText="1"/>
    </xf>
    <xf numFmtId="0" fontId="0" fillId="4" borderId="0" xfId="0" applyFill="1" applyBorder="1"/>
    <xf numFmtId="0" fontId="0" fillId="4" borderId="0" xfId="0" applyFill="1" applyBorder="1" applyAlignment="1">
      <alignment horizontal="center"/>
    </xf>
    <xf numFmtId="0" fontId="1" fillId="4" borderId="2" xfId="0" applyFont="1" applyFill="1" applyBorder="1"/>
    <xf numFmtId="0" fontId="1" fillId="4" borderId="2" xfId="0" applyFont="1" applyFill="1" applyBorder="1" applyAlignment="1">
      <alignment horizontal="center"/>
    </xf>
    <xf numFmtId="0" fontId="0" fillId="4" borderId="2" xfId="0" applyFill="1" applyBorder="1" applyAlignment="1">
      <alignment wrapText="1"/>
    </xf>
    <xf numFmtId="0" fontId="1" fillId="4" borderId="2" xfId="0" applyFont="1" applyFill="1" applyBorder="1" applyAlignment="1">
      <alignment horizontal="center" vertical="center" wrapText="1"/>
    </xf>
    <xf numFmtId="0" fontId="3" fillId="4" borderId="0" xfId="0" applyFont="1" applyFill="1"/>
    <xf numFmtId="169" fontId="1" fillId="7" borderId="22" xfId="0" applyNumberFormat="1" applyFont="1" applyFill="1" applyBorder="1" applyAlignment="1" applyProtection="1">
      <alignment horizontal="center"/>
      <protection locked="0"/>
    </xf>
    <xf numFmtId="0" fontId="18" fillId="0" borderId="0" xfId="1" applyBorder="1" applyAlignment="1" applyProtection="1">
      <alignment vertical="top"/>
      <protection locked="0"/>
    </xf>
    <xf numFmtId="0" fontId="0" fillId="0" borderId="0" xfId="0" applyBorder="1" applyProtection="1">
      <protection locked="0"/>
    </xf>
    <xf numFmtId="0" fontId="47" fillId="0" borderId="0" xfId="0" applyFont="1" applyProtection="1"/>
    <xf numFmtId="0" fontId="27" fillId="0" borderId="0" xfId="0" applyFont="1" applyFill="1" applyBorder="1" applyAlignment="1" applyProtection="1">
      <alignment horizontal="center" vertical="center"/>
    </xf>
    <xf numFmtId="0" fontId="8" fillId="0" borderId="0" xfId="0" applyFont="1" applyFill="1" applyBorder="1" applyAlignment="1" applyProtection="1"/>
    <xf numFmtId="0" fontId="11" fillId="0" borderId="0" xfId="0" applyFont="1" applyFill="1" applyBorder="1" applyAlignment="1" applyProtection="1"/>
    <xf numFmtId="0" fontId="27" fillId="0" borderId="0" xfId="0" applyFont="1" applyFill="1" applyProtection="1"/>
    <xf numFmtId="0" fontId="33" fillId="0" borderId="0" xfId="0" applyFont="1" applyBorder="1" applyProtection="1"/>
    <xf numFmtId="0" fontId="38" fillId="0" borderId="0" xfId="0" applyFont="1" applyFill="1" applyBorder="1" applyProtection="1"/>
    <xf numFmtId="0" fontId="38" fillId="0" borderId="0" xfId="0" applyFont="1" applyBorder="1" applyProtection="1"/>
    <xf numFmtId="0" fontId="46" fillId="0" borderId="0" xfId="0" applyFont="1" applyProtection="1"/>
    <xf numFmtId="0" fontId="30" fillId="0" borderId="0" xfId="0" applyFont="1" applyBorder="1" applyProtection="1"/>
    <xf numFmtId="0" fontId="1" fillId="4" borderId="0" xfId="0" applyFont="1" applyFill="1" applyProtection="1"/>
    <xf numFmtId="0" fontId="27" fillId="0" borderId="0" xfId="0" applyFont="1" applyBorder="1" applyAlignment="1" applyProtection="1">
      <alignment horizontal="right"/>
    </xf>
    <xf numFmtId="0" fontId="28" fillId="0" borderId="0" xfId="0" applyFont="1" applyBorder="1" applyProtection="1"/>
    <xf numFmtId="0" fontId="15" fillId="0" borderId="0" xfId="0" applyFont="1" applyBorder="1" applyAlignment="1" applyProtection="1">
      <alignment horizontal="left"/>
    </xf>
    <xf numFmtId="171" fontId="27" fillId="0" borderId="0" xfId="0" applyNumberFormat="1" applyFont="1" applyFill="1" applyBorder="1" applyAlignment="1" applyProtection="1">
      <alignment horizontal="center"/>
    </xf>
    <xf numFmtId="0" fontId="27" fillId="0" borderId="0" xfId="0" applyFont="1" applyAlignment="1" applyProtection="1">
      <alignment horizontal="right"/>
    </xf>
    <xf numFmtId="0" fontId="0" fillId="0" borderId="0" xfId="0" applyFill="1" applyProtection="1"/>
    <xf numFmtId="49" fontId="28" fillId="0" borderId="0" xfId="0" applyNumberFormat="1" applyFont="1" applyBorder="1" applyProtection="1"/>
    <xf numFmtId="164" fontId="28" fillId="0" borderId="0" xfId="0" applyNumberFormat="1" applyFont="1" applyBorder="1" applyAlignment="1" applyProtection="1">
      <alignment horizontal="center"/>
    </xf>
    <xf numFmtId="0" fontId="28" fillId="0" borderId="0" xfId="0" applyFont="1" applyBorder="1" applyAlignment="1" applyProtection="1">
      <alignment horizontal="center"/>
    </xf>
    <xf numFmtId="2" fontId="28" fillId="0" borderId="0" xfId="0" applyNumberFormat="1" applyFont="1" applyBorder="1" applyAlignment="1" applyProtection="1">
      <alignment horizontal="center"/>
    </xf>
    <xf numFmtId="0" fontId="33" fillId="0" borderId="0" xfId="0" applyFont="1" applyBorder="1" applyAlignment="1" applyProtection="1">
      <alignment horizontal="center" vertical="center" wrapText="1"/>
    </xf>
    <xf numFmtId="0" fontId="30" fillId="0" borderId="0" xfId="0" applyFont="1" applyBorder="1" applyAlignment="1" applyProtection="1">
      <alignment horizontal="left"/>
    </xf>
    <xf numFmtId="0" fontId="25" fillId="0" borderId="0" xfId="0" applyFont="1" applyBorder="1" applyAlignment="1" applyProtection="1">
      <alignment horizontal="left"/>
    </xf>
    <xf numFmtId="0" fontId="31" fillId="4" borderId="0" xfId="0" applyFont="1" applyFill="1" applyBorder="1" applyAlignment="1" applyProtection="1">
      <alignment horizontal="center" vertical="center"/>
    </xf>
    <xf numFmtId="0" fontId="27" fillId="4" borderId="0" xfId="0" applyFont="1" applyFill="1" applyProtection="1"/>
    <xf numFmtId="0" fontId="25" fillId="4" borderId="0" xfId="0" applyFont="1" applyFill="1" applyAlignment="1" applyProtection="1">
      <alignment horizontal="left"/>
    </xf>
    <xf numFmtId="0" fontId="25" fillId="0" borderId="0" xfId="0" applyFont="1" applyAlignment="1" applyProtection="1">
      <alignment horizontal="left"/>
    </xf>
    <xf numFmtId="0" fontId="25" fillId="0" borderId="0" xfId="0" applyFont="1" applyProtection="1"/>
    <xf numFmtId="49" fontId="27" fillId="0" borderId="0" xfId="0" applyNumberFormat="1" applyFont="1" applyFill="1" applyBorder="1" applyAlignment="1" applyProtection="1">
      <alignment horizontal="center"/>
    </xf>
    <xf numFmtId="0" fontId="44" fillId="0" borderId="6" xfId="0" applyFont="1" applyBorder="1" applyAlignment="1" applyProtection="1">
      <alignment horizontal="center" vertical="center" wrapText="1"/>
    </xf>
    <xf numFmtId="0" fontId="44" fillId="0" borderId="6" xfId="0" applyFont="1" applyFill="1" applyBorder="1" applyAlignment="1" applyProtection="1">
      <alignment horizontal="center" vertical="center" wrapText="1"/>
    </xf>
    <xf numFmtId="0" fontId="56" fillId="0" borderId="0" xfId="0" applyFont="1" applyFill="1" applyAlignment="1" applyProtection="1">
      <alignment horizontal="left"/>
    </xf>
    <xf numFmtId="0" fontId="3" fillId="4" borderId="0" xfId="0" applyFont="1" applyFill="1" applyAlignment="1" applyProtection="1">
      <alignment horizontal="center" vertical="center"/>
    </xf>
    <xf numFmtId="0" fontId="31" fillId="4" borderId="0" xfId="0" applyFont="1" applyFill="1" applyAlignment="1" applyProtection="1">
      <alignment horizontal="center" vertical="center"/>
    </xf>
    <xf numFmtId="0" fontId="25" fillId="0" borderId="0" xfId="0" applyFont="1" applyBorder="1" applyAlignment="1" applyProtection="1">
      <alignment horizontal="center"/>
    </xf>
    <xf numFmtId="0" fontId="27" fillId="4" borderId="0" xfId="0" applyFont="1" applyFill="1" applyAlignment="1" applyProtection="1">
      <alignment horizontal="center"/>
    </xf>
    <xf numFmtId="0" fontId="31" fillId="0" borderId="0" xfId="0" applyFont="1" applyBorder="1" applyProtection="1"/>
    <xf numFmtId="0" fontId="31" fillId="0" borderId="0" xfId="0" applyFont="1" applyBorder="1" applyAlignment="1" applyProtection="1">
      <alignment horizontal="right"/>
    </xf>
    <xf numFmtId="0" fontId="32" fillId="0" borderId="0" xfId="0" applyFont="1" applyBorder="1" applyAlignment="1" applyProtection="1">
      <alignment horizontal="center"/>
    </xf>
    <xf numFmtId="0" fontId="55" fillId="0" borderId="0" xfId="0" applyFont="1" applyFill="1" applyAlignment="1" applyProtection="1">
      <alignment horizontal="left"/>
    </xf>
    <xf numFmtId="0" fontId="31" fillId="0" borderId="0" xfId="0" applyFont="1" applyBorder="1" applyAlignment="1" applyProtection="1">
      <alignment horizontal="center"/>
    </xf>
    <xf numFmtId="0" fontId="31" fillId="0" borderId="0" xfId="0" applyFont="1" applyBorder="1" applyAlignment="1" applyProtection="1">
      <alignment horizontal="center" vertical="center" textRotation="90"/>
    </xf>
    <xf numFmtId="164" fontId="27" fillId="0" borderId="0" xfId="0" applyNumberFormat="1" applyFont="1" applyBorder="1" applyAlignment="1" applyProtection="1">
      <alignment horizontal="center" shrinkToFit="1"/>
    </xf>
    <xf numFmtId="0" fontId="27" fillId="0" borderId="0" xfId="0" applyFont="1" applyBorder="1" applyAlignment="1" applyProtection="1">
      <alignment horizontal="center" shrinkToFit="1"/>
    </xf>
    <xf numFmtId="2" fontId="27" fillId="0" borderId="0" xfId="0" applyNumberFormat="1" applyFont="1" applyBorder="1" applyAlignment="1" applyProtection="1">
      <alignment horizontal="center"/>
    </xf>
    <xf numFmtId="0" fontId="27" fillId="0" borderId="0" xfId="0" applyNumberFormat="1" applyFont="1" applyBorder="1" applyAlignment="1" applyProtection="1">
      <alignment horizontal="center" shrinkToFit="1"/>
    </xf>
    <xf numFmtId="2" fontId="27" fillId="0" borderId="0" xfId="0" applyNumberFormat="1" applyFont="1" applyBorder="1" applyAlignment="1" applyProtection="1">
      <alignment horizontal="center" shrinkToFit="1"/>
    </xf>
    <xf numFmtId="0" fontId="34" fillId="0" borderId="0" xfId="0" applyFont="1" applyBorder="1" applyProtection="1"/>
    <xf numFmtId="0" fontId="27" fillId="0" borderId="0" xfId="0" applyFont="1" applyBorder="1" applyAlignment="1" applyProtection="1">
      <alignment horizontal="center"/>
    </xf>
    <xf numFmtId="0" fontId="27" fillId="0" borderId="0" xfId="0" applyFont="1" applyBorder="1" applyAlignment="1" applyProtection="1">
      <alignment horizontal="center" vertical="center"/>
    </xf>
    <xf numFmtId="0" fontId="35" fillId="0" borderId="0" xfId="0" applyFont="1" applyBorder="1" applyAlignment="1" applyProtection="1">
      <alignment horizontal="center"/>
    </xf>
    <xf numFmtId="0" fontId="27" fillId="0" borderId="0" xfId="0" applyFont="1" applyBorder="1" applyAlignment="1" applyProtection="1">
      <alignment horizontal="left"/>
    </xf>
    <xf numFmtId="0" fontId="31" fillId="0" borderId="0" xfId="0" applyFont="1" applyBorder="1" applyAlignment="1" applyProtection="1">
      <alignment horizontal="left" vertical="center"/>
    </xf>
    <xf numFmtId="2" fontId="27" fillId="0" borderId="0" xfId="0" applyNumberFormat="1" applyFont="1" applyBorder="1" applyAlignment="1" applyProtection="1">
      <alignment horizontal="left"/>
    </xf>
    <xf numFmtId="0" fontId="35" fillId="0" borderId="0" xfId="0" applyFont="1" applyBorder="1" applyAlignment="1" applyProtection="1">
      <alignment horizontal="left"/>
    </xf>
    <xf numFmtId="0" fontId="34" fillId="0" borderId="0" xfId="0" applyFont="1" applyBorder="1" applyAlignment="1" applyProtection="1">
      <alignment horizontal="left"/>
    </xf>
    <xf numFmtId="2" fontId="25" fillId="0" borderId="0" xfId="0" applyNumberFormat="1" applyFont="1" applyBorder="1" applyAlignment="1" applyProtection="1">
      <alignment horizontal="left"/>
    </xf>
    <xf numFmtId="0" fontId="36" fillId="0" borderId="0" xfId="0" applyFont="1" applyBorder="1" applyAlignment="1" applyProtection="1">
      <alignment horizontal="left"/>
    </xf>
    <xf numFmtId="0" fontId="25" fillId="0" borderId="0" xfId="0" applyFont="1" applyBorder="1" applyAlignment="1" applyProtection="1">
      <alignment horizontal="center" vertical="center"/>
    </xf>
    <xf numFmtId="0" fontId="27" fillId="0" borderId="0" xfId="0" applyFont="1" applyAlignment="1" applyProtection="1">
      <alignment horizontal="center"/>
    </xf>
    <xf numFmtId="0" fontId="33" fillId="0" borderId="0" xfId="0" applyFont="1" applyBorder="1" applyAlignment="1" applyProtection="1">
      <alignment horizontal="center" vertical="center" textRotation="90"/>
    </xf>
    <xf numFmtId="0" fontId="33" fillId="0" borderId="0" xfId="0" applyFont="1" applyBorder="1" applyAlignment="1" applyProtection="1">
      <alignment horizontal="left" vertical="center" textRotation="90"/>
    </xf>
    <xf numFmtId="0" fontId="36" fillId="0" borderId="0" xfId="0" applyFont="1" applyBorder="1" applyProtection="1"/>
    <xf numFmtId="44" fontId="27" fillId="0" borderId="0" xfId="2" applyFont="1" applyBorder="1" applyAlignment="1" applyProtection="1">
      <alignment horizontal="center"/>
    </xf>
    <xf numFmtId="0" fontId="37" fillId="0" borderId="0" xfId="0" applyFont="1" applyBorder="1" applyProtection="1"/>
    <xf numFmtId="0" fontId="27" fillId="0" borderId="0" xfId="0" applyFont="1" applyAlignment="1" applyProtection="1">
      <alignment horizontal="left"/>
    </xf>
    <xf numFmtId="0" fontId="31" fillId="0" borderId="0" xfId="0" applyFont="1" applyBorder="1" applyAlignment="1" applyProtection="1">
      <alignment horizontal="right" vertical="center" textRotation="90" wrapText="1"/>
    </xf>
    <xf numFmtId="0" fontId="27" fillId="0" borderId="0" xfId="0" applyFont="1" applyBorder="1" applyAlignment="1" applyProtection="1">
      <alignment horizontal="left" vertical="center"/>
    </xf>
    <xf numFmtId="0" fontId="34" fillId="0" borderId="0" xfId="0" applyFont="1" applyBorder="1" applyAlignment="1" applyProtection="1">
      <alignment horizontal="center"/>
    </xf>
    <xf numFmtId="2" fontId="27" fillId="0" borderId="0" xfId="0" applyNumberFormat="1" applyFont="1" applyBorder="1" applyProtection="1"/>
    <xf numFmtId="0" fontId="26" fillId="0" borderId="0" xfId="0" applyFont="1" applyBorder="1" applyProtection="1"/>
    <xf numFmtId="165" fontId="27" fillId="0" borderId="0" xfId="0" applyNumberFormat="1" applyFont="1" applyBorder="1" applyAlignment="1" applyProtection="1">
      <alignment horizontal="center"/>
    </xf>
    <xf numFmtId="164" fontId="37" fillId="0" borderId="0" xfId="0" applyNumberFormat="1" applyFont="1" applyBorder="1" applyAlignment="1" applyProtection="1">
      <alignment horizontal="center"/>
    </xf>
    <xf numFmtId="0" fontId="37" fillId="0" borderId="0" xfId="0" applyFont="1" applyBorder="1" applyAlignment="1" applyProtection="1">
      <alignment horizontal="center"/>
    </xf>
    <xf numFmtId="0" fontId="31" fillId="0" borderId="0" xfId="0" applyFont="1" applyBorder="1" applyAlignment="1" applyProtection="1">
      <alignment vertical="center" textRotation="90" wrapText="1"/>
    </xf>
    <xf numFmtId="0" fontId="27" fillId="0" borderId="0" xfId="0" applyFont="1" applyBorder="1" applyAlignment="1" applyProtection="1">
      <alignment vertical="center" textRotation="90"/>
    </xf>
    <xf numFmtId="0" fontId="27" fillId="0" borderId="0" xfId="0" applyFont="1" applyBorder="1" applyAlignment="1" applyProtection="1">
      <alignment shrinkToFit="1"/>
    </xf>
    <xf numFmtId="0" fontId="44" fillId="5" borderId="6" xfId="0" applyFont="1" applyFill="1" applyBorder="1" applyAlignment="1" applyProtection="1">
      <alignment horizontal="center" vertical="center" wrapText="1"/>
      <protection locked="0"/>
    </xf>
    <xf numFmtId="0" fontId="33" fillId="0" borderId="0" xfId="0" applyFont="1" applyBorder="1" applyAlignment="1" applyProtection="1">
      <alignment horizontal="right"/>
    </xf>
    <xf numFmtId="0" fontId="58" fillId="0" borderId="0" xfId="0" applyFont="1" applyAlignment="1" applyProtection="1">
      <alignment horizontal="center" vertical="center"/>
    </xf>
    <xf numFmtId="0" fontId="25" fillId="0" borderId="0" xfId="0" applyFont="1" applyAlignment="1" applyProtection="1">
      <alignment horizontal="right"/>
    </xf>
    <xf numFmtId="0" fontId="27" fillId="3" borderId="0" xfId="0" applyFont="1" applyFill="1" applyProtection="1"/>
    <xf numFmtId="0" fontId="31" fillId="3" borderId="0" xfId="0" applyFont="1" applyFill="1" applyAlignment="1" applyProtection="1">
      <alignment horizontal="center" vertical="center"/>
    </xf>
    <xf numFmtId="0" fontId="31" fillId="3" borderId="0" xfId="0" applyFont="1" applyFill="1" applyAlignment="1" applyProtection="1">
      <alignment horizontal="center"/>
    </xf>
    <xf numFmtId="0" fontId="31" fillId="3" borderId="0" xfId="0" applyFont="1" applyFill="1" applyProtection="1"/>
    <xf numFmtId="0" fontId="73" fillId="3" borderId="0" xfId="0" applyFont="1" applyFill="1" applyAlignment="1" applyProtection="1">
      <alignment horizontal="center"/>
    </xf>
    <xf numFmtId="0" fontId="0" fillId="3" borderId="0" xfId="0" applyFill="1" applyProtection="1"/>
    <xf numFmtId="0" fontId="27" fillId="3" borderId="1" xfId="0" applyFont="1" applyFill="1" applyBorder="1" applyAlignment="1" applyProtection="1">
      <alignment horizontal="center" vertical="center"/>
    </xf>
    <xf numFmtId="0" fontId="27" fillId="3" borderId="1" xfId="0" applyFont="1" applyFill="1" applyBorder="1" applyAlignment="1" applyProtection="1">
      <alignment horizontal="center"/>
    </xf>
    <xf numFmtId="0" fontId="33" fillId="0" borderId="0" xfId="0" applyFont="1" applyAlignment="1" applyProtection="1">
      <alignment horizontal="right"/>
    </xf>
    <xf numFmtId="0" fontId="38" fillId="0" borderId="0" xfId="0" applyFont="1" applyProtection="1"/>
    <xf numFmtId="0" fontId="25" fillId="0" borderId="0" xfId="0" applyFont="1" applyBorder="1" applyAlignment="1" applyProtection="1">
      <alignment horizontal="right"/>
    </xf>
    <xf numFmtId="0" fontId="30" fillId="0" borderId="0" xfId="0" applyFont="1" applyBorder="1" applyAlignment="1" applyProtection="1">
      <alignment horizontal="center"/>
    </xf>
    <xf numFmtId="0" fontId="33" fillId="0" borderId="0" xfId="0" applyFont="1" applyBorder="1" applyAlignment="1" applyProtection="1">
      <alignment horizontal="center"/>
    </xf>
    <xf numFmtId="0" fontId="33" fillId="0" borderId="0" xfId="0" applyFont="1" applyBorder="1" applyAlignment="1" applyProtection="1">
      <alignment horizontal="left"/>
    </xf>
    <xf numFmtId="0" fontId="33" fillId="0" borderId="0" xfId="0" applyFont="1" applyBorder="1" applyAlignment="1" applyProtection="1">
      <alignment horizontal="right" vertical="center" textRotation="90"/>
    </xf>
    <xf numFmtId="0" fontId="33" fillId="0" borderId="0" xfId="0" applyFont="1" applyBorder="1" applyAlignment="1" applyProtection="1">
      <alignment vertical="center" textRotation="90" wrapText="1"/>
    </xf>
    <xf numFmtId="0" fontId="33" fillId="0" borderId="0" xfId="0" applyFont="1" applyBorder="1" applyAlignment="1" applyProtection="1">
      <alignment horizontal="right" vertical="center" textRotation="90" wrapText="1"/>
    </xf>
    <xf numFmtId="0" fontId="25" fillId="0" borderId="0" xfId="0" applyFont="1" applyBorder="1" applyAlignment="1" applyProtection="1">
      <alignment horizontal="center" shrinkToFit="1"/>
    </xf>
    <xf numFmtId="2" fontId="25" fillId="0" borderId="0" xfId="0" applyNumberFormat="1" applyFont="1" applyBorder="1" applyAlignment="1" applyProtection="1">
      <alignment horizontal="center" shrinkToFit="1"/>
    </xf>
    <xf numFmtId="0" fontId="25" fillId="0" borderId="0" xfId="0" applyFont="1" applyFill="1" applyBorder="1" applyAlignment="1" applyProtection="1">
      <alignment horizontal="right"/>
    </xf>
    <xf numFmtId="0" fontId="40" fillId="0" borderId="0" xfId="0" applyFont="1" applyBorder="1" applyAlignment="1" applyProtection="1">
      <alignment horizontal="left"/>
    </xf>
    <xf numFmtId="0" fontId="25" fillId="0" borderId="0" xfId="0" applyFont="1" applyBorder="1" applyAlignment="1" applyProtection="1">
      <alignment horizontal="right" vertical="center"/>
    </xf>
    <xf numFmtId="0" fontId="33" fillId="0" borderId="0" xfId="0" applyFont="1" applyBorder="1" applyAlignment="1" applyProtection="1">
      <alignment horizontal="left" vertical="center"/>
    </xf>
    <xf numFmtId="2" fontId="58" fillId="0" borderId="0" xfId="0" applyNumberFormat="1" applyFont="1" applyBorder="1" applyAlignment="1" applyProtection="1">
      <alignment horizontal="center" vertical="center"/>
    </xf>
    <xf numFmtId="0" fontId="25" fillId="0" borderId="0" xfId="0" applyFont="1" applyBorder="1" applyAlignment="1" applyProtection="1">
      <alignment horizontal="left" vertical="center"/>
    </xf>
    <xf numFmtId="0" fontId="40" fillId="0" borderId="0" xfId="0" applyFont="1" applyAlignment="1" applyProtection="1">
      <alignment horizontal="left"/>
    </xf>
    <xf numFmtId="0" fontId="33" fillId="0" borderId="1" xfId="0" applyFont="1" applyBorder="1" applyAlignment="1" applyProtection="1">
      <alignment horizontal="center"/>
    </xf>
    <xf numFmtId="0" fontId="41" fillId="0" borderId="0" xfId="0" applyFont="1" applyBorder="1" applyAlignment="1" applyProtection="1">
      <alignment horizontal="center"/>
    </xf>
    <xf numFmtId="0" fontId="27" fillId="0" borderId="23" xfId="0" applyFont="1" applyBorder="1" applyAlignment="1" applyProtection="1">
      <alignment horizontal="left"/>
    </xf>
    <xf numFmtId="0" fontId="25" fillId="4" borderId="22" xfId="0" applyFont="1" applyFill="1" applyBorder="1" applyAlignment="1" applyProtection="1">
      <alignment horizontal="left" vertical="center"/>
    </xf>
    <xf numFmtId="0" fontId="25" fillId="0" borderId="0" xfId="0" applyFont="1" applyBorder="1" applyAlignment="1" applyProtection="1">
      <alignment horizontal="left" shrinkToFit="1"/>
    </xf>
    <xf numFmtId="0" fontId="58" fillId="0" borderId="0" xfId="0" applyFont="1" applyBorder="1" applyAlignment="1" applyProtection="1">
      <alignment horizontal="center" vertical="center"/>
    </xf>
    <xf numFmtId="2" fontId="27" fillId="3" borderId="1" xfId="0" applyNumberFormat="1" applyFont="1" applyFill="1" applyBorder="1" applyAlignment="1" applyProtection="1">
      <alignment horizontal="center"/>
    </xf>
    <xf numFmtId="0" fontId="41" fillId="0" borderId="0" xfId="0" applyFont="1" applyBorder="1" applyAlignment="1" applyProtection="1">
      <alignment horizontal="left"/>
    </xf>
    <xf numFmtId="0" fontId="33" fillId="0" borderId="0" xfId="0" applyFont="1" applyBorder="1" applyAlignment="1" applyProtection="1">
      <alignment horizontal="left" vertical="center" textRotation="90" wrapText="1"/>
    </xf>
    <xf numFmtId="0" fontId="39" fillId="5" borderId="15" xfId="0" applyFont="1" applyFill="1" applyBorder="1" applyProtection="1"/>
    <xf numFmtId="0" fontId="39" fillId="5" borderId="16" xfId="0" applyFont="1" applyFill="1" applyBorder="1" applyProtection="1"/>
    <xf numFmtId="0" fontId="45" fillId="0" borderId="0" xfId="0" applyFont="1" applyBorder="1" applyAlignment="1" applyProtection="1">
      <alignment wrapText="1"/>
    </xf>
    <xf numFmtId="0" fontId="25" fillId="0" borderId="0" xfId="0" applyFont="1" applyBorder="1" applyAlignment="1" applyProtection="1">
      <alignment wrapText="1"/>
    </xf>
    <xf numFmtId="0" fontId="25" fillId="0" borderId="6" xfId="0" applyFont="1" applyBorder="1" applyAlignment="1" applyProtection="1">
      <alignment wrapText="1"/>
    </xf>
    <xf numFmtId="0" fontId="25" fillId="0" borderId="0" xfId="0" applyFont="1" applyFill="1" applyBorder="1" applyProtection="1"/>
    <xf numFmtId="0" fontId="42" fillId="0" borderId="0" xfId="0" applyFont="1" applyBorder="1" applyProtection="1"/>
    <xf numFmtId="0" fontId="36" fillId="0" borderId="0" xfId="0" applyFont="1" applyBorder="1" applyAlignment="1" applyProtection="1">
      <alignment horizontal="center"/>
    </xf>
    <xf numFmtId="2" fontId="25" fillId="0" borderId="0" xfId="0" applyNumberFormat="1" applyFont="1" applyBorder="1" applyProtection="1"/>
    <xf numFmtId="165" fontId="25" fillId="0" borderId="0" xfId="0" applyNumberFormat="1" applyFont="1" applyBorder="1" applyAlignment="1" applyProtection="1">
      <alignment horizontal="center"/>
    </xf>
    <xf numFmtId="0" fontId="43" fillId="0" borderId="0" xfId="0" applyFont="1" applyBorder="1" applyProtection="1"/>
    <xf numFmtId="0" fontId="30" fillId="0" borderId="0" xfId="0" applyNumberFormat="1" applyFont="1" applyBorder="1" applyProtection="1"/>
    <xf numFmtId="166" fontId="25" fillId="0" borderId="0" xfId="0" applyNumberFormat="1" applyFont="1" applyBorder="1" applyProtection="1"/>
    <xf numFmtId="164" fontId="42" fillId="0" borderId="0" xfId="0" applyNumberFormat="1" applyFont="1" applyBorder="1" applyAlignment="1" applyProtection="1">
      <alignment horizontal="center"/>
    </xf>
    <xf numFmtId="49" fontId="42" fillId="0" borderId="0" xfId="0" applyNumberFormat="1" applyFont="1" applyBorder="1" applyProtection="1"/>
    <xf numFmtId="0" fontId="42" fillId="0" borderId="0" xfId="0" applyFont="1" applyBorder="1" applyAlignment="1" applyProtection="1">
      <alignment horizontal="center"/>
    </xf>
    <xf numFmtId="0" fontId="25" fillId="0" borderId="0" xfId="0" applyFont="1" applyBorder="1" applyAlignment="1" applyProtection="1">
      <alignment shrinkToFit="1"/>
    </xf>
    <xf numFmtId="0" fontId="25" fillId="0" borderId="0" xfId="0" applyFont="1" applyAlignment="1" applyProtection="1">
      <alignment horizontal="center" vertical="center"/>
    </xf>
    <xf numFmtId="0" fontId="58" fillId="0" borderId="0" xfId="0" applyFont="1" applyAlignment="1" applyProtection="1">
      <alignment horizontal="center"/>
    </xf>
    <xf numFmtId="169" fontId="1" fillId="7" borderId="0" xfId="0" applyNumberFormat="1" applyFont="1" applyFill="1" applyBorder="1" applyAlignment="1" applyProtection="1">
      <alignment horizontal="center"/>
      <protection locked="0"/>
    </xf>
    <xf numFmtId="165" fontId="0" fillId="7" borderId="0" xfId="0" applyNumberFormat="1" applyFill="1" applyBorder="1" applyAlignment="1" applyProtection="1">
      <alignment horizontal="center"/>
      <protection locked="0"/>
    </xf>
    <xf numFmtId="0" fontId="25" fillId="8" borderId="0" xfId="0" applyFont="1" applyFill="1"/>
    <xf numFmtId="0" fontId="71" fillId="8" borderId="0" xfId="0" applyFont="1" applyFill="1" applyAlignment="1">
      <alignment horizontal="left" vertical="center" indent="2"/>
    </xf>
    <xf numFmtId="0" fontId="25" fillId="8" borderId="0" xfId="0" applyFont="1" applyFill="1" applyProtection="1">
      <protection locked="0"/>
    </xf>
    <xf numFmtId="0" fontId="18" fillId="8" borderId="0" xfId="1" applyFill="1" applyAlignment="1" applyProtection="1">
      <alignment vertical="top"/>
      <protection locked="0"/>
    </xf>
    <xf numFmtId="0" fontId="15" fillId="0" borderId="0" xfId="0" applyFont="1" applyFill="1" applyBorder="1" applyAlignment="1" applyProtection="1">
      <alignment horizontal="center"/>
    </xf>
    <xf numFmtId="0" fontId="25" fillId="0" borderId="0" xfId="0" applyFont="1" applyFill="1" applyProtection="1"/>
    <xf numFmtId="0" fontId="25" fillId="0" borderId="0" xfId="0" applyFont="1" applyFill="1" applyBorder="1" applyAlignment="1" applyProtection="1">
      <alignment horizontal="center"/>
    </xf>
    <xf numFmtId="0" fontId="33" fillId="0" borderId="0" xfId="0" applyFont="1" applyFill="1" applyBorder="1" applyAlignment="1" applyProtection="1">
      <alignment horizontal="right" vertical="center" textRotation="90" wrapText="1"/>
    </xf>
    <xf numFmtId="0" fontId="25" fillId="0" borderId="0" xfId="0" applyFont="1" applyFill="1" applyBorder="1" applyAlignment="1" applyProtection="1">
      <alignment shrinkToFit="1"/>
    </xf>
    <xf numFmtId="0" fontId="34" fillId="0" borderId="0" xfId="0" applyFont="1" applyProtection="1"/>
    <xf numFmtId="168" fontId="25" fillId="0" borderId="0" xfId="0" applyNumberFormat="1" applyFont="1" applyAlignment="1" applyProtection="1">
      <alignment horizontal="center"/>
    </xf>
    <xf numFmtId="0" fontId="28" fillId="0" borderId="0" xfId="0" applyNumberFormat="1" applyFont="1" applyProtection="1"/>
    <xf numFmtId="165" fontId="25" fillId="0" borderId="0" xfId="0" applyNumberFormat="1" applyFont="1" applyAlignment="1" applyProtection="1">
      <alignment horizontal="center"/>
    </xf>
    <xf numFmtId="165" fontId="33" fillId="0" borderId="0" xfId="0" applyNumberFormat="1" applyFont="1" applyAlignment="1" applyProtection="1">
      <alignment horizontal="center"/>
    </xf>
    <xf numFmtId="2" fontId="33" fillId="0" borderId="0" xfId="0" applyNumberFormat="1" applyFont="1" applyBorder="1" applyAlignment="1" applyProtection="1">
      <alignment horizontal="center"/>
    </xf>
    <xf numFmtId="166" fontId="54" fillId="0" borderId="0" xfId="0" applyNumberFormat="1" applyFont="1" applyAlignment="1" applyProtection="1">
      <alignment horizontal="center"/>
    </xf>
    <xf numFmtId="0" fontId="41" fillId="0" borderId="0" xfId="0" applyFont="1" applyProtection="1"/>
    <xf numFmtId="0" fontId="41" fillId="0" borderId="0" xfId="0" applyFont="1" applyBorder="1" applyProtection="1"/>
    <xf numFmtId="165" fontId="54" fillId="0" borderId="0" xfId="0" applyNumberFormat="1" applyFont="1" applyAlignment="1" applyProtection="1">
      <alignment horizontal="center"/>
    </xf>
    <xf numFmtId="2" fontId="33" fillId="0" borderId="0" xfId="0" applyNumberFormat="1" applyFont="1" applyBorder="1" applyProtection="1"/>
    <xf numFmtId="0" fontId="25" fillId="0" borderId="20" xfId="0" applyFont="1" applyBorder="1" applyAlignment="1" applyProtection="1">
      <alignment horizontal="left"/>
    </xf>
    <xf numFmtId="0" fontId="25" fillId="0" borderId="4" xfId="0" applyFont="1" applyBorder="1" applyProtection="1"/>
    <xf numFmtId="0" fontId="25" fillId="0" borderId="21" xfId="0" applyFont="1" applyBorder="1" applyProtection="1"/>
    <xf numFmtId="0" fontId="25" fillId="0" borderId="8" xfId="0" applyFont="1" applyBorder="1" applyAlignment="1" applyProtection="1">
      <alignment horizontal="left"/>
    </xf>
    <xf numFmtId="0" fontId="25" fillId="0" borderId="2" xfId="0" applyFont="1" applyBorder="1" applyProtection="1"/>
    <xf numFmtId="0" fontId="25" fillId="0" borderId="7" xfId="0" applyFont="1" applyBorder="1" applyProtection="1"/>
    <xf numFmtId="0" fontId="52" fillId="0" borderId="0" xfId="0" applyFont="1" applyProtection="1"/>
    <xf numFmtId="0" fontId="33" fillId="0" borderId="2" xfId="0" applyFont="1" applyBorder="1" applyAlignment="1" applyProtection="1">
      <alignment horizontal="left"/>
    </xf>
    <xf numFmtId="0" fontId="33" fillId="0" borderId="2" xfId="0" applyFont="1" applyBorder="1" applyProtection="1"/>
    <xf numFmtId="0" fontId="33" fillId="0" borderId="0" xfId="0" applyFont="1" applyAlignment="1" applyProtection="1">
      <alignment horizontal="left"/>
    </xf>
    <xf numFmtId="2" fontId="31" fillId="0" borderId="0" xfId="0" applyNumberFormat="1" applyFont="1" applyBorder="1" applyAlignment="1" applyProtection="1">
      <alignment horizontal="center"/>
    </xf>
    <xf numFmtId="0" fontId="15" fillId="0" borderId="0" xfId="0" applyNumberFormat="1" applyFont="1" applyFill="1" applyBorder="1" applyAlignment="1" applyProtection="1">
      <alignment horizontal="center"/>
    </xf>
    <xf numFmtId="170" fontId="15" fillId="0" borderId="0" xfId="0" applyNumberFormat="1" applyFont="1" applyFill="1" applyBorder="1" applyAlignment="1" applyProtection="1">
      <alignment horizontal="center"/>
    </xf>
    <xf numFmtId="171" fontId="15" fillId="0" borderId="0" xfId="0" applyNumberFormat="1" applyFont="1" applyFill="1" applyBorder="1" applyAlignment="1" applyProtection="1">
      <alignment horizontal="center"/>
    </xf>
    <xf numFmtId="14" fontId="15" fillId="0" borderId="0" xfId="0" applyNumberFormat="1" applyFont="1" applyFill="1" applyBorder="1" applyAlignment="1" applyProtection="1">
      <alignment horizontal="center"/>
    </xf>
    <xf numFmtId="0" fontId="15" fillId="0" borderId="0" xfId="0" applyNumberFormat="1" applyFont="1" applyFill="1" applyBorder="1" applyAlignment="1" applyProtection="1">
      <alignment horizontal="center" shrinkToFit="1"/>
    </xf>
    <xf numFmtId="2" fontId="15" fillId="0" borderId="0" xfId="0" applyNumberFormat="1" applyFont="1" applyFill="1" applyBorder="1" applyAlignment="1" applyProtection="1">
      <alignment horizontal="center"/>
    </xf>
    <xf numFmtId="2" fontId="15" fillId="0" borderId="0" xfId="0" applyNumberFormat="1" applyFont="1" applyFill="1" applyBorder="1" applyAlignment="1" applyProtection="1">
      <alignment horizontal="center" vertical="center"/>
    </xf>
    <xf numFmtId="0" fontId="70" fillId="0" borderId="0" xfId="0" applyFont="1" applyFill="1" applyBorder="1" applyAlignment="1" applyProtection="1">
      <alignment horizontal="center"/>
      <protection locked="0"/>
    </xf>
    <xf numFmtId="0" fontId="70" fillId="0" borderId="0" xfId="0" applyFont="1" applyFill="1" applyBorder="1" applyAlignment="1" applyProtection="1">
      <alignment horizontal="center" vertical="center"/>
      <protection locked="0"/>
    </xf>
    <xf numFmtId="0" fontId="17" fillId="0" borderId="0" xfId="0" applyFont="1" applyFill="1" applyBorder="1" applyProtection="1"/>
    <xf numFmtId="0" fontId="14" fillId="0" borderId="0" xfId="0" applyFont="1" applyFill="1" applyBorder="1" applyProtection="1"/>
    <xf numFmtId="0" fontId="19" fillId="0" borderId="0" xfId="0" applyFont="1" applyFill="1" applyBorder="1" applyProtection="1"/>
    <xf numFmtId="0" fontId="0" fillId="0" borderId="0" xfId="0" applyProtection="1"/>
    <xf numFmtId="0" fontId="17" fillId="0" borderId="0" xfId="0" applyFont="1" applyFill="1" applyBorder="1" applyAlignment="1" applyProtection="1">
      <alignment horizontal="center"/>
    </xf>
    <xf numFmtId="0" fontId="17" fillId="6" borderId="0" xfId="0" applyFont="1" applyFill="1" applyBorder="1" applyAlignment="1" applyProtection="1">
      <alignment horizontal="center" wrapText="1"/>
    </xf>
    <xf numFmtId="0" fontId="69" fillId="6" borderId="0" xfId="0" applyFont="1" applyFill="1" applyBorder="1" applyAlignment="1" applyProtection="1">
      <alignment horizontal="center" vertical="center" wrapText="1"/>
    </xf>
    <xf numFmtId="0" fontId="17" fillId="0" borderId="0" xfId="0" applyFont="1" applyFill="1" applyBorder="1" applyAlignment="1" applyProtection="1">
      <alignment horizontal="center" wrapText="1"/>
    </xf>
    <xf numFmtId="0" fontId="8" fillId="0" borderId="0" xfId="0" applyFont="1" applyBorder="1" applyProtection="1"/>
    <xf numFmtId="0" fontId="0" fillId="0" borderId="0" xfId="0" applyBorder="1" applyProtection="1"/>
    <xf numFmtId="14" fontId="17" fillId="0" borderId="0" xfId="0" applyNumberFormat="1" applyFont="1" applyFill="1" applyBorder="1" applyAlignment="1" applyProtection="1">
      <alignment horizontal="center"/>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1" fillId="0" borderId="0" xfId="0" applyFont="1" applyAlignment="1" applyProtection="1">
      <alignment horizontal="center" wrapText="1"/>
    </xf>
    <xf numFmtId="0" fontId="13" fillId="0" borderId="0" xfId="0" applyFont="1" applyFill="1" applyBorder="1" applyAlignment="1" applyProtection="1">
      <alignment horizontal="center"/>
    </xf>
    <xf numFmtId="2" fontId="0" fillId="0" borderId="0" xfId="0" applyNumberFormat="1" applyFill="1" applyBorder="1" applyAlignment="1" applyProtection="1">
      <alignment horizontal="center"/>
    </xf>
    <xf numFmtId="0" fontId="1" fillId="0" borderId="0" xfId="0" applyFont="1" applyFill="1" applyBorder="1" applyAlignment="1" applyProtection="1">
      <alignment horizontal="center"/>
    </xf>
    <xf numFmtId="0" fontId="24" fillId="0" borderId="0" xfId="0" applyFont="1" applyProtection="1"/>
    <xf numFmtId="168" fontId="24" fillId="0" borderId="0" xfId="0" applyNumberFormat="1" applyFont="1" applyFill="1" applyProtection="1"/>
    <xf numFmtId="0" fontId="13" fillId="0" borderId="0" xfId="0" applyFont="1" applyBorder="1" applyAlignment="1" applyProtection="1">
      <alignment horizontal="center"/>
    </xf>
    <xf numFmtId="0" fontId="1" fillId="0" borderId="10" xfId="0" applyFont="1" applyBorder="1" applyAlignment="1" applyProtection="1">
      <alignment horizontal="center"/>
    </xf>
    <xf numFmtId="0" fontId="1" fillId="0" borderId="11" xfId="0" applyFont="1" applyFill="1" applyBorder="1" applyAlignment="1" applyProtection="1">
      <alignment horizontal="center"/>
    </xf>
    <xf numFmtId="0" fontId="1" fillId="0" borderId="11" xfId="0" applyFont="1" applyBorder="1" applyAlignment="1" applyProtection="1">
      <alignment horizontal="center" wrapText="1"/>
    </xf>
    <xf numFmtId="0" fontId="17" fillId="0" borderId="11" xfId="0" applyFont="1" applyFill="1" applyBorder="1" applyAlignment="1" applyProtection="1">
      <alignment horizontal="center" wrapText="1"/>
    </xf>
    <xf numFmtId="0" fontId="1" fillId="0" borderId="11" xfId="0" applyNumberFormat="1" applyFont="1" applyBorder="1" applyAlignment="1" applyProtection="1">
      <alignment horizontal="center"/>
    </xf>
    <xf numFmtId="0" fontId="1" fillId="0" borderId="11" xfId="0" applyNumberFormat="1" applyFont="1" applyBorder="1" applyAlignment="1" applyProtection="1">
      <alignment horizontal="center" wrapText="1"/>
    </xf>
    <xf numFmtId="0" fontId="17" fillId="0" borderId="11" xfId="0" applyNumberFormat="1" applyFont="1" applyFill="1" applyBorder="1" applyAlignment="1" applyProtection="1">
      <alignment horizontal="center" wrapText="1"/>
    </xf>
    <xf numFmtId="0" fontId="1" fillId="0" borderId="0" xfId="0" applyFont="1" applyBorder="1" applyAlignment="1" applyProtection="1">
      <alignment horizontal="center"/>
    </xf>
    <xf numFmtId="0" fontId="1" fillId="0" borderId="0" xfId="0" applyNumberFormat="1" applyFont="1" applyFill="1" applyBorder="1" applyAlignment="1" applyProtection="1">
      <alignment horizontal="center"/>
    </xf>
    <xf numFmtId="0" fontId="0" fillId="4" borderId="0" xfId="0" applyFill="1" applyProtection="1"/>
    <xf numFmtId="0" fontId="0" fillId="0" borderId="3" xfId="0" applyFill="1" applyBorder="1" applyProtection="1"/>
    <xf numFmtId="0" fontId="0" fillId="0" borderId="3" xfId="0" applyFill="1" applyBorder="1" applyAlignment="1" applyProtection="1">
      <alignment horizontal="center"/>
    </xf>
    <xf numFmtId="0" fontId="0" fillId="0" borderId="0" xfId="0" applyFont="1" applyFill="1" applyBorder="1" applyProtection="1"/>
    <xf numFmtId="14" fontId="0" fillId="4" borderId="0" xfId="0" applyNumberFormat="1" applyFill="1" applyProtection="1"/>
    <xf numFmtId="2" fontId="0" fillId="4" borderId="0" xfId="0" applyNumberFormat="1" applyFill="1" applyProtection="1"/>
    <xf numFmtId="0" fontId="66" fillId="0" borderId="0" xfId="0" applyNumberFormat="1" applyFont="1" applyFill="1" applyBorder="1" applyAlignment="1" applyProtection="1">
      <alignment horizontal="left"/>
    </xf>
    <xf numFmtId="0" fontId="0" fillId="0" borderId="8" xfId="0" applyBorder="1" applyProtection="1"/>
    <xf numFmtId="0" fontId="0" fillId="0" borderId="2" xfId="0" applyNumberFormat="1" applyFill="1" applyBorder="1" applyAlignment="1" applyProtection="1">
      <alignment horizontal="center"/>
    </xf>
    <xf numFmtId="0" fontId="0" fillId="0" borderId="2" xfId="0" applyNumberFormat="1" applyBorder="1" applyAlignment="1" applyProtection="1">
      <alignment horizontal="center"/>
    </xf>
    <xf numFmtId="0" fontId="3" fillId="0" borderId="2" xfId="0" applyFont="1" applyFill="1" applyBorder="1" applyAlignment="1" applyProtection="1">
      <alignment horizontal="right"/>
    </xf>
    <xf numFmtId="0" fontId="17" fillId="0" borderId="0" xfId="0" applyFont="1" applyFill="1" applyBorder="1" applyAlignment="1" applyProtection="1">
      <alignment horizontal="left"/>
    </xf>
    <xf numFmtId="0" fontId="20" fillId="0" borderId="0" xfId="0" applyFont="1" applyProtection="1"/>
    <xf numFmtId="0" fontId="0" fillId="0" borderId="0" xfId="0" applyNumberFormat="1" applyFill="1" applyAlignment="1" applyProtection="1">
      <alignment horizontal="center"/>
    </xf>
    <xf numFmtId="0" fontId="0" fillId="0" borderId="0" xfId="0" applyNumberFormat="1" applyAlignment="1" applyProtection="1">
      <alignment horizontal="center"/>
    </xf>
    <xf numFmtId="0" fontId="1" fillId="0" borderId="11" xfId="0" applyNumberFormat="1" applyFont="1" applyFill="1" applyBorder="1" applyAlignment="1" applyProtection="1">
      <alignment horizontal="center"/>
    </xf>
    <xf numFmtId="0" fontId="1" fillId="0" borderId="3" xfId="0" applyFont="1" applyFill="1" applyBorder="1" applyProtection="1"/>
    <xf numFmtId="0" fontId="1" fillId="0" borderId="3" xfId="0" applyFont="1" applyFill="1" applyBorder="1" applyAlignment="1" applyProtection="1">
      <alignment horizontal="center"/>
    </xf>
    <xf numFmtId="0" fontId="0" fillId="0" borderId="0" xfId="0" applyAlignment="1" applyProtection="1">
      <alignment horizontal="center"/>
    </xf>
    <xf numFmtId="0" fontId="1" fillId="0" borderId="0" xfId="0" applyFont="1" applyProtection="1"/>
    <xf numFmtId="0" fontId="1" fillId="0" borderId="11" xfId="0" applyNumberFormat="1" applyFont="1" applyFill="1" applyBorder="1" applyAlignment="1" applyProtection="1">
      <alignment horizontal="center" wrapText="1"/>
    </xf>
    <xf numFmtId="0" fontId="67" fillId="0" borderId="0" xfId="0" applyFont="1" applyAlignment="1" applyProtection="1">
      <alignment horizontal="center" vertical="center"/>
    </xf>
    <xf numFmtId="0" fontId="3" fillId="4" borderId="0" xfId="0" applyFont="1" applyFill="1" applyBorder="1" applyAlignment="1" applyProtection="1">
      <alignment horizontal="center" vertical="center"/>
    </xf>
    <xf numFmtId="0" fontId="3" fillId="4" borderId="0" xfId="0" applyFont="1" applyFill="1" applyBorder="1" applyAlignment="1" applyProtection="1">
      <alignment horizontal="center" vertical="center" wrapText="1"/>
    </xf>
    <xf numFmtId="0" fontId="3" fillId="4" borderId="0" xfId="0" applyFont="1" applyFill="1" applyAlignment="1" applyProtection="1">
      <alignment wrapText="1"/>
    </xf>
    <xf numFmtId="0" fontId="0" fillId="4" borderId="0" xfId="0" applyFill="1" applyAlignment="1" applyProtection="1">
      <alignment horizontal="center"/>
    </xf>
    <xf numFmtId="0" fontId="1" fillId="4" borderId="0" xfId="0" applyFont="1" applyFill="1" applyBorder="1" applyProtection="1"/>
    <xf numFmtId="0" fontId="1" fillId="4" borderId="0" xfId="0" applyFont="1" applyFill="1" applyBorder="1" applyAlignment="1" applyProtection="1">
      <alignment horizontal="center"/>
    </xf>
    <xf numFmtId="0" fontId="24" fillId="2" borderId="0" xfId="0" applyFont="1" applyFill="1" applyProtection="1"/>
    <xf numFmtId="0" fontId="0" fillId="6" borderId="0" xfId="0" applyFill="1" applyProtection="1"/>
    <xf numFmtId="0" fontId="24" fillId="6" borderId="0" xfId="0" applyFont="1" applyFill="1" applyProtection="1"/>
    <xf numFmtId="0" fontId="10" fillId="2" borderId="0" xfId="0" applyFont="1" applyFill="1" applyProtection="1"/>
    <xf numFmtId="0" fontId="31" fillId="6" borderId="0" xfId="0" applyFont="1" applyFill="1" applyProtection="1"/>
    <xf numFmtId="0" fontId="11" fillId="2" borderId="0" xfId="0" applyFont="1" applyFill="1" applyProtection="1"/>
    <xf numFmtId="0" fontId="59" fillId="6" borderId="0" xfId="0" applyFont="1" applyFill="1" applyProtection="1"/>
    <xf numFmtId="14" fontId="28" fillId="2" borderId="0" xfId="0" applyNumberFormat="1" applyFont="1" applyFill="1" applyAlignment="1" applyProtection="1">
      <alignment horizontal="center"/>
    </xf>
    <xf numFmtId="14" fontId="28" fillId="6" borderId="0" xfId="0" applyNumberFormat="1" applyFont="1" applyFill="1" applyAlignment="1" applyProtection="1">
      <alignment horizontal="center"/>
    </xf>
    <xf numFmtId="2" fontId="28" fillId="2" borderId="0" xfId="0" applyNumberFormat="1" applyFont="1" applyFill="1" applyAlignment="1" applyProtection="1">
      <alignment horizontal="center"/>
    </xf>
    <xf numFmtId="2" fontId="28" fillId="6" borderId="0" xfId="0" applyNumberFormat="1" applyFont="1" applyFill="1" applyAlignment="1" applyProtection="1">
      <alignment horizontal="center"/>
    </xf>
    <xf numFmtId="2" fontId="57" fillId="2" borderId="0" xfId="0" applyNumberFormat="1" applyFont="1" applyFill="1" applyAlignment="1" applyProtection="1">
      <alignment horizontal="center"/>
    </xf>
    <xf numFmtId="0" fontId="31" fillId="6" borderId="0" xfId="0" applyFont="1" applyFill="1" applyAlignment="1" applyProtection="1">
      <alignment horizontal="right"/>
    </xf>
    <xf numFmtId="2" fontId="57" fillId="6" borderId="0" xfId="0" applyNumberFormat="1" applyFont="1" applyFill="1" applyAlignment="1" applyProtection="1">
      <alignment horizontal="center"/>
    </xf>
    <xf numFmtId="0" fontId="60" fillId="2" borderId="0" xfId="0" applyFont="1" applyFill="1" applyAlignment="1" applyProtection="1">
      <alignment horizontal="right"/>
    </xf>
    <xf numFmtId="9" fontId="22" fillId="2" borderId="0" xfId="0" applyNumberFormat="1" applyFont="1" applyFill="1" applyAlignment="1" applyProtection="1">
      <alignment horizontal="center"/>
    </xf>
    <xf numFmtId="0" fontId="27" fillId="6" borderId="0" xfId="0" applyFont="1" applyFill="1" applyAlignment="1" applyProtection="1">
      <alignment horizontal="center"/>
    </xf>
    <xf numFmtId="0" fontId="31" fillId="2" borderId="0" xfId="0" applyFont="1" applyFill="1" applyProtection="1"/>
    <xf numFmtId="0" fontId="31" fillId="2" borderId="0" xfId="0" applyFont="1" applyFill="1" applyAlignment="1" applyProtection="1">
      <alignment horizontal="right"/>
    </xf>
    <xf numFmtId="0" fontId="10" fillId="6" borderId="0" xfId="0" applyFont="1" applyFill="1" applyProtection="1"/>
    <xf numFmtId="0" fontId="3" fillId="6" borderId="0" xfId="0" applyFont="1" applyFill="1" applyAlignment="1" applyProtection="1">
      <alignment horizontal="right"/>
    </xf>
    <xf numFmtId="0" fontId="3" fillId="6" borderId="0" xfId="0" applyFont="1" applyFill="1" applyProtection="1"/>
    <xf numFmtId="0" fontId="0" fillId="2" borderId="25" xfId="0" applyFill="1" applyBorder="1" applyProtection="1"/>
    <xf numFmtId="0" fontId="0" fillId="2" borderId="26" xfId="0" applyFill="1" applyBorder="1" applyProtection="1"/>
    <xf numFmtId="0" fontId="3" fillId="2" borderId="27" xfId="0" applyFont="1" applyFill="1" applyBorder="1" applyAlignment="1" applyProtection="1">
      <alignment horizontal="center" vertical="center"/>
    </xf>
    <xf numFmtId="0" fontId="3" fillId="2" borderId="30" xfId="0" applyFont="1" applyFill="1" applyBorder="1" applyAlignment="1" applyProtection="1">
      <alignment vertical="center"/>
    </xf>
    <xf numFmtId="0" fontId="1" fillId="2" borderId="33" xfId="0" applyFont="1" applyFill="1" applyBorder="1" applyProtection="1"/>
    <xf numFmtId="0" fontId="0" fillId="6" borderId="25" xfId="0" applyFill="1" applyBorder="1" applyProtection="1"/>
    <xf numFmtId="0" fontId="0" fillId="6" borderId="26" xfId="0" applyFill="1" applyBorder="1" applyProtection="1"/>
    <xf numFmtId="0" fontId="3" fillId="6" borderId="27" xfId="0" applyFont="1" applyFill="1" applyBorder="1" applyAlignment="1" applyProtection="1">
      <alignment horizontal="center" vertical="center"/>
    </xf>
    <xf numFmtId="0" fontId="3" fillId="6" borderId="30" xfId="0" applyFont="1" applyFill="1" applyBorder="1" applyAlignment="1" applyProtection="1">
      <alignment vertical="center"/>
    </xf>
    <xf numFmtId="0" fontId="0" fillId="6" borderId="33" xfId="0" applyFill="1" applyBorder="1" applyProtection="1"/>
    <xf numFmtId="0" fontId="1" fillId="0" borderId="0" xfId="0" applyFont="1" applyFill="1" applyAlignment="1" applyProtection="1">
      <alignment horizontal="center" wrapText="1"/>
    </xf>
    <xf numFmtId="0" fontId="3" fillId="2" borderId="31" xfId="0" applyFont="1" applyFill="1" applyBorder="1" applyAlignment="1" applyProtection="1">
      <alignment horizontal="center" vertical="center" textRotation="90" wrapText="1"/>
    </xf>
    <xf numFmtId="0" fontId="3" fillId="2" borderId="32" xfId="0" applyFont="1" applyFill="1" applyBorder="1" applyAlignment="1" applyProtection="1">
      <alignment horizontal="center" vertical="center" textRotation="90" wrapText="1"/>
    </xf>
    <xf numFmtId="0" fontId="3" fillId="2" borderId="24" xfId="0" applyFont="1" applyFill="1" applyBorder="1" applyAlignment="1" applyProtection="1">
      <alignment horizontal="center" vertical="center" textRotation="90" wrapText="1"/>
    </xf>
    <xf numFmtId="0" fontId="3" fillId="2" borderId="38" xfId="0" applyFont="1" applyFill="1" applyBorder="1" applyAlignment="1" applyProtection="1">
      <alignment horizontal="center" vertical="center" textRotation="90" wrapText="1"/>
    </xf>
    <xf numFmtId="0" fontId="0" fillId="2" borderId="0" xfId="0" applyFill="1" applyAlignment="1" applyProtection="1">
      <alignment horizontal="center"/>
    </xf>
    <xf numFmtId="0" fontId="0" fillId="6" borderId="0" xfId="0" applyFill="1" applyAlignment="1" applyProtection="1">
      <alignment horizontal="center"/>
    </xf>
    <xf numFmtId="2" fontId="0" fillId="0" borderId="0" xfId="0" applyNumberFormat="1" applyFill="1" applyProtection="1"/>
    <xf numFmtId="1" fontId="0" fillId="0" borderId="0" xfId="0" applyNumberFormat="1" applyFill="1" applyProtection="1"/>
    <xf numFmtId="14" fontId="0" fillId="2" borderId="0" xfId="0" applyNumberFormat="1" applyFill="1" applyProtection="1"/>
    <xf numFmtId="0" fontId="6" fillId="2" borderId="0" xfId="0" applyFont="1" applyFill="1" applyProtection="1"/>
    <xf numFmtId="0" fontId="6" fillId="2" borderId="0" xfId="0" applyFont="1" applyFill="1" applyBorder="1" applyProtection="1"/>
    <xf numFmtId="0" fontId="6" fillId="6" borderId="0" xfId="0" applyFont="1" applyFill="1" applyProtection="1"/>
    <xf numFmtId="0" fontId="0" fillId="0" borderId="0" xfId="0" applyFill="1" applyAlignment="1" applyProtection="1">
      <alignment horizontal="center"/>
    </xf>
    <xf numFmtId="2" fontId="0" fillId="0" borderId="0" xfId="0" applyNumberFormat="1" applyFill="1" applyAlignment="1" applyProtection="1">
      <alignment horizontal="center"/>
    </xf>
    <xf numFmtId="167" fontId="0" fillId="0" borderId="0" xfId="0" applyNumberFormat="1" applyFill="1" applyProtection="1"/>
    <xf numFmtId="167" fontId="1" fillId="0" borderId="0" xfId="0" applyNumberFormat="1" applyFont="1" applyFill="1" applyProtection="1"/>
    <xf numFmtId="0" fontId="1" fillId="0" borderId="0" xfId="0" applyFont="1" applyFill="1" applyProtection="1"/>
    <xf numFmtId="0" fontId="6" fillId="0" borderId="0" xfId="0" applyFont="1" applyFill="1" applyProtection="1"/>
    <xf numFmtId="0" fontId="6" fillId="0" borderId="0" xfId="0" applyFont="1" applyFill="1" applyBorder="1" applyProtection="1"/>
    <xf numFmtId="2" fontId="1" fillId="0" borderId="0" xfId="0" applyNumberFormat="1" applyFont="1" applyFill="1" applyProtection="1"/>
    <xf numFmtId="0" fontId="9" fillId="0" borderId="0" xfId="0" applyFont="1" applyFill="1" applyBorder="1" applyAlignment="1" applyProtection="1">
      <alignment horizontal="center" vertical="center" textRotation="90"/>
    </xf>
    <xf numFmtId="0" fontId="0" fillId="0" borderId="0" xfId="0" applyFill="1" applyBorder="1" applyAlignment="1" applyProtection="1">
      <alignment horizontal="center"/>
    </xf>
    <xf numFmtId="2" fontId="3" fillId="0" borderId="0" xfId="0" applyNumberFormat="1" applyFont="1" applyFill="1" applyBorder="1" applyAlignment="1" applyProtection="1">
      <alignment horizontal="center"/>
    </xf>
    <xf numFmtId="0" fontId="23"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0" fillId="0" borderId="0" xfId="0" applyFill="1" applyBorder="1" applyAlignment="1" applyProtection="1"/>
    <xf numFmtId="2" fontId="1" fillId="0" borderId="0" xfId="0" applyNumberFormat="1" applyFont="1" applyFill="1" applyBorder="1" applyProtection="1"/>
    <xf numFmtId="0" fontId="1" fillId="0" borderId="0" xfId="0" applyFont="1" applyFill="1" applyBorder="1" applyProtection="1"/>
    <xf numFmtId="0" fontId="0" fillId="0" borderId="0" xfId="0" applyFill="1" applyAlignment="1" applyProtection="1">
      <alignment vertical="center" textRotation="90"/>
    </xf>
    <xf numFmtId="0" fontId="0" fillId="0" borderId="0" xfId="0" applyFill="1" applyAlignment="1" applyProtection="1">
      <alignment shrinkToFit="1"/>
    </xf>
    <xf numFmtId="0" fontId="27" fillId="0" borderId="0" xfId="0" applyFont="1" applyProtection="1">
      <protection locked="0"/>
    </xf>
    <xf numFmtId="0" fontId="27" fillId="0" borderId="2" xfId="0" applyFont="1" applyBorder="1" applyProtection="1">
      <protection locked="0"/>
    </xf>
    <xf numFmtId="0" fontId="31" fillId="0" borderId="0" xfId="0" applyFont="1" applyProtection="1"/>
    <xf numFmtId="0" fontId="31" fillId="0" borderId="0"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2" fontId="27" fillId="0" borderId="0" xfId="0" applyNumberFormat="1" applyFont="1" applyFill="1" applyAlignment="1" applyProtection="1">
      <alignment horizontal="center"/>
    </xf>
    <xf numFmtId="0" fontId="31" fillId="0" borderId="0" xfId="0" applyFont="1" applyFill="1" applyAlignment="1" applyProtection="1">
      <alignment horizontal="center"/>
    </xf>
    <xf numFmtId="0" fontId="31" fillId="0" borderId="0" xfId="0" applyFont="1" applyFill="1" applyBorder="1" applyAlignment="1" applyProtection="1">
      <alignment horizontal="center" vertical="center" textRotation="90"/>
    </xf>
    <xf numFmtId="0" fontId="27" fillId="0" borderId="0" xfId="0" applyFont="1" applyFill="1" applyAlignment="1" applyProtection="1">
      <alignment horizontal="center"/>
    </xf>
    <xf numFmtId="0" fontId="27" fillId="0" borderId="0" xfId="0" applyFont="1" applyFill="1" applyBorder="1" applyAlignment="1" applyProtection="1">
      <alignment horizontal="center"/>
    </xf>
    <xf numFmtId="2" fontId="27" fillId="0" borderId="0" xfId="0" applyNumberFormat="1" applyFont="1" applyFill="1" applyBorder="1" applyAlignment="1" applyProtection="1">
      <alignment horizontal="center"/>
    </xf>
    <xf numFmtId="0" fontId="31" fillId="0" borderId="0" xfId="0" applyFont="1" applyFill="1" applyProtection="1"/>
    <xf numFmtId="0" fontId="35" fillId="0" borderId="0" xfId="0" applyFont="1" applyBorder="1" applyProtection="1"/>
    <xf numFmtId="0" fontId="3" fillId="0" borderId="0" xfId="0" applyFont="1" applyFill="1" applyProtection="1"/>
    <xf numFmtId="2" fontId="31" fillId="0" borderId="0" xfId="0" applyNumberFormat="1" applyFont="1" applyFill="1" applyAlignment="1" applyProtection="1">
      <alignment horizontal="center"/>
    </xf>
    <xf numFmtId="172" fontId="25" fillId="0" borderId="0" xfId="0" applyNumberFormat="1" applyFont="1" applyProtection="1"/>
    <xf numFmtId="0" fontId="27" fillId="10" borderId="0" xfId="0" applyFont="1" applyFill="1" applyBorder="1" applyProtection="1"/>
    <xf numFmtId="0" fontId="31" fillId="10" borderId="0" xfId="0" applyFont="1" applyFill="1" applyBorder="1" applyAlignment="1" applyProtection="1">
      <alignment horizontal="center" vertical="center" textRotation="90"/>
    </xf>
    <xf numFmtId="0" fontId="27" fillId="9" borderId="0" xfId="0" applyFont="1" applyFill="1" applyProtection="1"/>
    <xf numFmtId="2" fontId="27" fillId="9" borderId="0" xfId="0" applyNumberFormat="1" applyFont="1" applyFill="1" applyProtection="1"/>
    <xf numFmtId="0" fontId="15" fillId="0" borderId="12" xfId="0" applyFont="1" applyFill="1" applyBorder="1" applyAlignment="1" applyProtection="1">
      <alignment horizontal="center"/>
      <protection locked="0"/>
    </xf>
    <xf numFmtId="173" fontId="25" fillId="0" borderId="0" xfId="2" applyNumberFormat="1" applyFont="1" applyAlignment="1" applyProtection="1">
      <alignment horizontal="center"/>
    </xf>
    <xf numFmtId="174" fontId="25" fillId="0" borderId="0" xfId="0" applyNumberFormat="1" applyFont="1" applyFill="1" applyAlignment="1" applyProtection="1">
      <alignment horizontal="center"/>
    </xf>
    <xf numFmtId="2" fontId="25" fillId="0" borderId="0" xfId="0" applyNumberFormat="1" applyFont="1" applyBorder="1" applyAlignment="1" applyProtection="1">
      <alignment horizontal="center" vertical="center"/>
    </xf>
    <xf numFmtId="0" fontId="33" fillId="0" borderId="0" xfId="0" applyFont="1" applyAlignment="1">
      <alignment horizontal="center"/>
    </xf>
    <xf numFmtId="14" fontId="0" fillId="2" borderId="40" xfId="0" applyNumberFormat="1" applyFill="1" applyBorder="1" applyAlignment="1" applyProtection="1">
      <alignment horizontal="center" shrinkToFit="1"/>
    </xf>
    <xf numFmtId="169" fontId="1" fillId="7" borderId="40" xfId="0" applyNumberFormat="1" applyFont="1" applyFill="1" applyBorder="1" applyAlignment="1" applyProtection="1">
      <alignment horizontal="center"/>
      <protection locked="0"/>
    </xf>
    <xf numFmtId="169" fontId="0" fillId="7" borderId="41" xfId="0" applyNumberFormat="1" applyFill="1" applyBorder="1" applyAlignment="1" applyProtection="1">
      <alignment horizontal="center" shrinkToFit="1"/>
      <protection locked="0"/>
    </xf>
    <xf numFmtId="2" fontId="0" fillId="7" borderId="42" xfId="0" applyNumberFormat="1" applyFill="1" applyBorder="1" applyAlignment="1" applyProtection="1">
      <alignment horizontal="center" shrinkToFit="1"/>
      <protection locked="0"/>
    </xf>
    <xf numFmtId="14" fontId="0" fillId="2" borderId="0" xfId="0" applyNumberFormat="1" applyFill="1" applyBorder="1" applyAlignment="1" applyProtection="1">
      <alignment horizontal="center" vertical="center"/>
    </xf>
    <xf numFmtId="2" fontId="0" fillId="7" borderId="44" xfId="0" applyNumberFormat="1" applyFill="1" applyBorder="1" applyAlignment="1" applyProtection="1">
      <alignment horizontal="center"/>
      <protection locked="0"/>
    </xf>
    <xf numFmtId="14" fontId="0" fillId="2" borderId="6" xfId="0" applyNumberFormat="1" applyFill="1" applyBorder="1" applyAlignment="1" applyProtection="1">
      <alignment horizontal="center" vertical="center"/>
    </xf>
    <xf numFmtId="169" fontId="1" fillId="7" borderId="6" xfId="0" applyNumberFormat="1" applyFont="1" applyFill="1" applyBorder="1" applyAlignment="1" applyProtection="1">
      <alignment horizontal="center"/>
      <protection locked="0"/>
    </xf>
    <xf numFmtId="169" fontId="0" fillId="7" borderId="32" xfId="0" applyNumberFormat="1" applyFill="1" applyBorder="1" applyAlignment="1" applyProtection="1">
      <alignment horizontal="center" shrinkToFit="1"/>
      <protection locked="0"/>
    </xf>
    <xf numFmtId="169" fontId="0" fillId="7" borderId="23" xfId="0" applyNumberFormat="1" applyFill="1" applyBorder="1" applyAlignment="1" applyProtection="1">
      <alignment horizontal="center" shrinkToFit="1"/>
      <protection locked="0"/>
    </xf>
    <xf numFmtId="14" fontId="0" fillId="2" borderId="40" xfId="0" applyNumberFormat="1" applyFill="1" applyBorder="1" applyAlignment="1" applyProtection="1">
      <alignment horizontal="center" vertical="center"/>
    </xf>
    <xf numFmtId="169" fontId="1" fillId="7" borderId="41" xfId="0" applyNumberFormat="1" applyFont="1" applyFill="1" applyBorder="1" applyAlignment="1" applyProtection="1">
      <alignment horizontal="center"/>
      <protection locked="0"/>
    </xf>
    <xf numFmtId="2" fontId="1" fillId="7" borderId="42" xfId="0" applyNumberFormat="1" applyFont="1" applyFill="1" applyBorder="1" applyAlignment="1" applyProtection="1">
      <alignment horizontal="center"/>
      <protection locked="0"/>
    </xf>
    <xf numFmtId="2" fontId="1" fillId="7" borderId="44" xfId="0" applyNumberFormat="1" applyFont="1" applyFill="1" applyBorder="1" applyAlignment="1" applyProtection="1">
      <alignment horizontal="center"/>
      <protection locked="0"/>
    </xf>
    <xf numFmtId="169" fontId="1" fillId="7" borderId="32" xfId="0" applyNumberFormat="1" applyFont="1" applyFill="1" applyBorder="1" applyAlignment="1" applyProtection="1">
      <alignment horizontal="center"/>
      <protection locked="0"/>
    </xf>
    <xf numFmtId="2" fontId="1" fillId="7" borderId="46" xfId="0" applyNumberFormat="1" applyFont="1" applyFill="1" applyBorder="1" applyAlignment="1" applyProtection="1">
      <alignment horizontal="center"/>
      <protection locked="0"/>
    </xf>
    <xf numFmtId="2" fontId="1" fillId="7" borderId="47" xfId="0" applyNumberFormat="1" applyFont="1" applyFill="1" applyBorder="1" applyAlignment="1" applyProtection="1">
      <alignment horizontal="center"/>
      <protection locked="0"/>
    </xf>
    <xf numFmtId="14" fontId="0" fillId="2" borderId="40" xfId="0" applyNumberFormat="1" applyFill="1" applyBorder="1" applyAlignment="1" applyProtection="1">
      <alignment horizontal="center"/>
    </xf>
    <xf numFmtId="0" fontId="3" fillId="6" borderId="48" xfId="0" applyFont="1" applyFill="1" applyBorder="1" applyAlignment="1" applyProtection="1">
      <alignment horizontal="center" vertical="center" textRotation="90" wrapText="1"/>
    </xf>
    <xf numFmtId="0" fontId="3" fillId="6" borderId="23" xfId="0" applyFont="1" applyFill="1" applyBorder="1" applyAlignment="1" applyProtection="1">
      <alignment horizontal="center" vertical="center" textRotation="90" wrapText="1"/>
    </xf>
    <xf numFmtId="167" fontId="3" fillId="6" borderId="23" xfId="0" applyNumberFormat="1" applyFont="1" applyFill="1" applyBorder="1" applyAlignment="1" applyProtection="1">
      <alignment horizontal="center" vertical="center" textRotation="90" wrapText="1"/>
    </xf>
    <xf numFmtId="0" fontId="3" fillId="6" borderId="49" xfId="0" applyFont="1" applyFill="1" applyBorder="1" applyAlignment="1" applyProtection="1">
      <alignment horizontal="center" vertical="center" textRotation="90" wrapText="1"/>
    </xf>
    <xf numFmtId="14" fontId="0" fillId="6" borderId="40" xfId="0" applyNumberFormat="1" applyFill="1" applyBorder="1" applyAlignment="1" applyProtection="1">
      <alignment horizontal="center" shrinkToFit="1"/>
    </xf>
    <xf numFmtId="169" fontId="0" fillId="6" borderId="40" xfId="0" applyNumberFormat="1" applyFill="1" applyBorder="1" applyAlignment="1" applyProtection="1">
      <alignment horizontal="center"/>
    </xf>
    <xf numFmtId="169" fontId="0" fillId="6" borderId="40" xfId="0" applyNumberFormat="1" applyFill="1" applyBorder="1" applyAlignment="1" applyProtection="1">
      <alignment horizontal="center" shrinkToFit="1"/>
    </xf>
    <xf numFmtId="0" fontId="16" fillId="5" borderId="41" xfId="0" applyFont="1" applyFill="1" applyBorder="1" applyAlignment="1" applyProtection="1">
      <alignment horizontal="center" shrinkToFit="1"/>
      <protection locked="0"/>
    </xf>
    <xf numFmtId="14" fontId="0" fillId="6" borderId="0" xfId="0" applyNumberFormat="1" applyFill="1" applyBorder="1" applyAlignment="1" applyProtection="1">
      <alignment horizontal="center" vertical="center"/>
    </xf>
    <xf numFmtId="169" fontId="0" fillId="6" borderId="0" xfId="0" applyNumberFormat="1" applyFill="1" applyBorder="1" applyAlignment="1" applyProtection="1">
      <alignment horizontal="center"/>
    </xf>
    <xf numFmtId="169" fontId="0" fillId="6" borderId="0" xfId="0" applyNumberFormat="1" applyFill="1" applyBorder="1" applyAlignment="1" applyProtection="1">
      <alignment horizontal="center" shrinkToFit="1"/>
    </xf>
    <xf numFmtId="14" fontId="0" fillId="6" borderId="6" xfId="0" applyNumberFormat="1" applyFill="1" applyBorder="1" applyAlignment="1" applyProtection="1">
      <alignment horizontal="center" vertical="center"/>
    </xf>
    <xf numFmtId="169" fontId="0" fillId="6" borderId="6" xfId="0" applyNumberFormat="1" applyFill="1" applyBorder="1" applyAlignment="1" applyProtection="1">
      <alignment horizontal="center"/>
    </xf>
    <xf numFmtId="169" fontId="0" fillId="6" borderId="6" xfId="0" applyNumberFormat="1" applyFill="1" applyBorder="1" applyAlignment="1" applyProtection="1">
      <alignment horizontal="center" shrinkToFit="1"/>
    </xf>
    <xf numFmtId="0" fontId="16" fillId="5" borderId="32" xfId="0" applyFont="1" applyFill="1" applyBorder="1" applyAlignment="1" applyProtection="1">
      <alignment horizontal="center" shrinkToFit="1"/>
      <protection locked="0"/>
    </xf>
    <xf numFmtId="14" fontId="0" fillId="6" borderId="40" xfId="0" applyNumberFormat="1" applyFill="1" applyBorder="1" applyAlignment="1" applyProtection="1">
      <alignment horizontal="center" vertical="center"/>
    </xf>
    <xf numFmtId="0" fontId="16" fillId="5" borderId="23" xfId="0" applyFont="1" applyFill="1" applyBorder="1" applyAlignment="1" applyProtection="1">
      <alignment horizontal="center"/>
      <protection locked="0"/>
    </xf>
    <xf numFmtId="14" fontId="0" fillId="6" borderId="40" xfId="0" applyNumberFormat="1" applyFill="1" applyBorder="1" applyAlignment="1" applyProtection="1">
      <alignment horizontal="center"/>
    </xf>
    <xf numFmtId="0" fontId="16" fillId="5" borderId="41" xfId="0" applyFont="1" applyFill="1" applyBorder="1" applyAlignment="1" applyProtection="1">
      <alignment horizontal="center"/>
      <protection locked="0"/>
    </xf>
    <xf numFmtId="0" fontId="16" fillId="5" borderId="32" xfId="0" applyFont="1" applyFill="1" applyBorder="1" applyAlignment="1" applyProtection="1">
      <alignment horizontal="center"/>
      <protection locked="0"/>
    </xf>
    <xf numFmtId="0" fontId="0" fillId="2" borderId="50" xfId="0" applyFill="1" applyBorder="1" applyProtection="1"/>
    <xf numFmtId="0" fontId="3" fillId="2" borderId="51" xfId="0" applyFont="1" applyFill="1" applyBorder="1" applyAlignment="1" applyProtection="1">
      <alignment horizontal="center" vertical="center" textRotation="90" wrapText="1"/>
    </xf>
    <xf numFmtId="0" fontId="3" fillId="2" borderId="52" xfId="0" applyFont="1" applyFill="1" applyBorder="1" applyAlignment="1" applyProtection="1">
      <alignment horizontal="center" vertical="center"/>
    </xf>
    <xf numFmtId="0" fontId="3" fillId="2" borderId="55" xfId="0" applyFont="1" applyFill="1" applyBorder="1" applyAlignment="1" applyProtection="1">
      <alignment vertical="center"/>
    </xf>
    <xf numFmtId="0" fontId="74" fillId="0" borderId="0" xfId="0" applyFont="1" applyAlignment="1" applyProtection="1">
      <alignment horizontal="center"/>
      <protection locked="0"/>
    </xf>
    <xf numFmtId="0" fontId="1" fillId="0" borderId="0" xfId="3" applyFill="1"/>
    <xf numFmtId="14" fontId="1" fillId="0" borderId="0" xfId="3" applyNumberFormat="1" applyFill="1"/>
    <xf numFmtId="0" fontId="1" fillId="0" borderId="0" xfId="3"/>
    <xf numFmtId="0" fontId="25" fillId="0" borderId="1" xfId="0" applyFont="1" applyBorder="1" applyAlignment="1">
      <alignment horizontal="center"/>
    </xf>
    <xf numFmtId="0" fontId="16" fillId="5" borderId="8" xfId="0" applyFont="1" applyFill="1" applyBorder="1" applyAlignment="1" applyProtection="1">
      <alignment horizontal="center" shrinkToFit="1"/>
      <protection locked="0"/>
    </xf>
    <xf numFmtId="14" fontId="0" fillId="0" borderId="0" xfId="0" applyNumberFormat="1" applyFill="1" applyBorder="1" applyAlignment="1" applyProtection="1">
      <alignment horizontal="center"/>
    </xf>
    <xf numFmtId="14" fontId="0" fillId="0" borderId="0" xfId="0" applyNumberFormat="1" applyFill="1" applyProtection="1"/>
    <xf numFmtId="0" fontId="3" fillId="5" borderId="0" xfId="0" applyFont="1" applyFill="1" applyAlignment="1">
      <alignment horizontal="center" vertical="center" wrapText="1"/>
    </xf>
    <xf numFmtId="2" fontId="0" fillId="6" borderId="42" xfId="0" applyNumberFormat="1" applyFill="1" applyBorder="1" applyAlignment="1" applyProtection="1">
      <alignment horizontal="center"/>
    </xf>
    <xf numFmtId="2" fontId="0" fillId="6" borderId="44" xfId="0" applyNumberFormat="1" applyFill="1" applyBorder="1" applyAlignment="1" applyProtection="1">
      <alignment horizontal="center"/>
    </xf>
    <xf numFmtId="2" fontId="0" fillId="6" borderId="46" xfId="0" applyNumberFormat="1" applyFill="1" applyBorder="1" applyAlignment="1" applyProtection="1">
      <alignment horizontal="center"/>
    </xf>
    <xf numFmtId="2" fontId="0" fillId="7" borderId="46" xfId="0" applyNumberFormat="1" applyFill="1" applyBorder="1" applyAlignment="1" applyProtection="1">
      <alignment horizontal="center"/>
      <protection locked="0"/>
    </xf>
    <xf numFmtId="2" fontId="0" fillId="6" borderId="35" xfId="0" applyNumberFormat="1" applyFill="1" applyBorder="1" applyAlignment="1" applyProtection="1">
      <alignment horizontal="center" shrinkToFit="1"/>
    </xf>
    <xf numFmtId="2" fontId="0" fillId="6" borderId="34" xfId="0" applyNumberFormat="1" applyFill="1" applyBorder="1" applyAlignment="1" applyProtection="1">
      <alignment horizontal="center"/>
    </xf>
    <xf numFmtId="2" fontId="0" fillId="6" borderId="37" xfId="0" applyNumberFormat="1" applyFill="1" applyBorder="1" applyAlignment="1" applyProtection="1">
      <alignment horizontal="center"/>
    </xf>
    <xf numFmtId="0" fontId="25" fillId="0" borderId="0" xfId="0" applyFont="1" applyFill="1" applyAlignment="1">
      <alignment horizontal="center"/>
    </xf>
    <xf numFmtId="0" fontId="25" fillId="0" borderId="19" xfId="0" applyFont="1" applyBorder="1" applyAlignment="1" applyProtection="1">
      <alignment horizontal="left" wrapText="1"/>
      <protection locked="0"/>
    </xf>
    <xf numFmtId="0" fontId="25" fillId="0" borderId="36" xfId="0" applyFont="1" applyBorder="1" applyAlignment="1" applyProtection="1">
      <alignment horizontal="left" wrapText="1"/>
      <protection locked="0"/>
    </xf>
    <xf numFmtId="0" fontId="25" fillId="0" borderId="37" xfId="0" applyFont="1" applyBorder="1" applyAlignment="1" applyProtection="1">
      <alignment horizontal="left" wrapText="1"/>
      <protection locked="0"/>
    </xf>
    <xf numFmtId="0" fontId="25" fillId="0" borderId="10" xfId="0" applyFont="1" applyBorder="1" applyAlignment="1" applyProtection="1">
      <alignment horizontal="left" wrapText="1"/>
      <protection locked="0"/>
    </xf>
    <xf numFmtId="0" fontId="25" fillId="0" borderId="11" xfId="0" applyFont="1" applyBorder="1" applyAlignment="1" applyProtection="1">
      <alignment horizontal="left" wrapText="1"/>
      <protection locked="0"/>
    </xf>
    <xf numFmtId="0" fontId="25" fillId="0" borderId="34" xfId="0" applyFont="1" applyBorder="1" applyAlignment="1" applyProtection="1">
      <alignment horizontal="left" wrapText="1"/>
      <protection locked="0"/>
    </xf>
    <xf numFmtId="0" fontId="45" fillId="0" borderId="10"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0" fontId="25" fillId="3" borderId="0" xfId="0" applyFont="1" applyFill="1" applyAlignment="1" applyProtection="1">
      <alignment horizontal="center" vertical="center"/>
    </xf>
    <xf numFmtId="0" fontId="39" fillId="5" borderId="16" xfId="0" applyFont="1" applyFill="1" applyBorder="1" applyAlignment="1" applyProtection="1">
      <alignment horizontal="left"/>
    </xf>
    <xf numFmtId="0" fontId="39" fillId="5" borderId="14" xfId="0" applyFont="1" applyFill="1" applyBorder="1" applyAlignment="1" applyProtection="1">
      <alignment horizontal="left"/>
    </xf>
    <xf numFmtId="0" fontId="39" fillId="5" borderId="35" xfId="0" applyFont="1" applyFill="1" applyBorder="1" applyAlignment="1" applyProtection="1">
      <alignment horizontal="left"/>
    </xf>
    <xf numFmtId="0" fontId="1" fillId="0" borderId="0" xfId="0" applyFont="1" applyAlignment="1" applyProtection="1">
      <alignment horizontal="center" vertical="center" wrapText="1"/>
    </xf>
    <xf numFmtId="0" fontId="1" fillId="4" borderId="0" xfId="0" applyFont="1" applyFill="1" applyAlignment="1" applyProtection="1">
      <alignment horizontal="center"/>
    </xf>
    <xf numFmtId="0" fontId="0" fillId="4" borderId="0" xfId="0" applyFill="1" applyAlignment="1" applyProtection="1">
      <alignment horizontal="center"/>
    </xf>
    <xf numFmtId="0" fontId="17" fillId="6" borderId="0" xfId="0" applyFont="1" applyFill="1" applyBorder="1" applyAlignment="1" applyProtection="1">
      <alignment horizontal="center" wrapText="1"/>
    </xf>
    <xf numFmtId="168" fontId="24" fillId="2" borderId="0" xfId="0" applyNumberFormat="1" applyFont="1" applyFill="1" applyAlignment="1" applyProtection="1">
      <alignment horizontal="right"/>
    </xf>
    <xf numFmtId="168" fontId="24" fillId="6" borderId="0" xfId="0" applyNumberFormat="1" applyFont="1" applyFill="1" applyAlignment="1" applyProtection="1">
      <alignment horizontal="right"/>
    </xf>
    <xf numFmtId="0" fontId="1" fillId="0" borderId="0" xfId="0" applyFont="1" applyFill="1" applyAlignment="1" applyProtection="1">
      <alignment horizontal="center"/>
    </xf>
    <xf numFmtId="0" fontId="0" fillId="0" borderId="0" xfId="0" applyFill="1" applyAlignment="1" applyProtection="1">
      <alignment horizontal="center"/>
    </xf>
    <xf numFmtId="0" fontId="3" fillId="6" borderId="39" xfId="0" applyFont="1" applyFill="1" applyBorder="1" applyAlignment="1" applyProtection="1">
      <alignment horizontal="center" vertical="center" textRotation="90" wrapText="1"/>
    </xf>
    <xf numFmtId="0" fontId="9" fillId="6" borderId="43" xfId="0" applyFont="1" applyFill="1" applyBorder="1" applyAlignment="1" applyProtection="1">
      <alignment horizontal="center" vertical="center" textRotation="90" wrapText="1"/>
    </xf>
    <xf numFmtId="0" fontId="9" fillId="6" borderId="45" xfId="0" applyFont="1" applyFill="1" applyBorder="1" applyAlignment="1" applyProtection="1">
      <alignment horizontal="center" vertical="center" textRotation="90" wrapText="1"/>
    </xf>
    <xf numFmtId="0" fontId="3" fillId="2" borderId="39" xfId="0" applyFont="1" applyFill="1" applyBorder="1" applyAlignment="1" applyProtection="1">
      <alignment horizontal="center" vertical="center" textRotation="90" wrapText="1"/>
    </xf>
    <xf numFmtId="0" fontId="9" fillId="2" borderId="43" xfId="0" applyFont="1" applyFill="1" applyBorder="1" applyAlignment="1" applyProtection="1">
      <alignment horizontal="center" vertical="center" textRotation="90" wrapText="1"/>
    </xf>
    <xf numFmtId="0" fontId="9" fillId="2" borderId="45" xfId="0" applyFont="1" applyFill="1" applyBorder="1" applyAlignment="1" applyProtection="1">
      <alignment horizontal="center" vertical="center" textRotation="90" wrapText="1"/>
    </xf>
    <xf numFmtId="0" fontId="3" fillId="2" borderId="43" xfId="0" applyFont="1" applyFill="1" applyBorder="1" applyAlignment="1" applyProtection="1">
      <alignment horizontal="center" vertical="center" textRotation="90" wrapText="1"/>
    </xf>
    <xf numFmtId="0" fontId="3" fillId="2" borderId="28" xfId="0" applyFont="1" applyFill="1" applyBorder="1" applyAlignment="1" applyProtection="1">
      <alignment horizontal="center" vertical="center"/>
    </xf>
    <xf numFmtId="0" fontId="0" fillId="2" borderId="29" xfId="0" applyFill="1" applyBorder="1" applyAlignment="1" applyProtection="1">
      <alignment horizontal="center" vertical="center"/>
    </xf>
    <xf numFmtId="0" fontId="3" fillId="2" borderId="53" xfId="0" applyFont="1" applyFill="1" applyBorder="1" applyAlignment="1" applyProtection="1">
      <alignment horizontal="center" vertical="center"/>
    </xf>
    <xf numFmtId="0" fontId="0" fillId="2" borderId="54" xfId="0" applyFill="1" applyBorder="1" applyAlignment="1" applyProtection="1">
      <alignment horizontal="center" vertical="center"/>
    </xf>
    <xf numFmtId="0" fontId="3" fillId="6" borderId="28" xfId="0" applyFont="1" applyFill="1" applyBorder="1" applyAlignment="1" applyProtection="1">
      <alignment horizontal="center" vertical="center"/>
    </xf>
    <xf numFmtId="0" fontId="0" fillId="6" borderId="29" xfId="0" applyFill="1" applyBorder="1" applyAlignment="1" applyProtection="1">
      <alignment horizontal="center" vertical="center"/>
    </xf>
    <xf numFmtId="0" fontId="53" fillId="0" borderId="0" xfId="0" applyFont="1" applyAlignment="1" applyProtection="1">
      <alignment horizontal="center"/>
    </xf>
    <xf numFmtId="0" fontId="33" fillId="0" borderId="0" xfId="0" applyFont="1" applyAlignment="1" applyProtection="1">
      <alignment horizontal="center" vertical="center" wrapText="1"/>
    </xf>
    <xf numFmtId="0" fontId="33" fillId="0" borderId="0" xfId="0" applyFont="1" applyAlignment="1">
      <alignment horizontal="center"/>
    </xf>
    <xf numFmtId="0" fontId="33" fillId="0" borderId="20" xfId="0" applyFont="1" applyBorder="1" applyAlignment="1">
      <alignment horizontal="center" vertical="center" wrapText="1"/>
    </xf>
    <xf numFmtId="0" fontId="33" fillId="0" borderId="3" xfId="0" applyFont="1" applyBorder="1" applyAlignment="1">
      <alignment horizontal="center" vertical="center" wrapText="1"/>
    </xf>
    <xf numFmtId="0" fontId="25" fillId="0" borderId="4" xfId="0" applyFont="1" applyBorder="1" applyAlignment="1">
      <alignment wrapText="1"/>
    </xf>
    <xf numFmtId="0" fontId="25" fillId="0" borderId="0" xfId="0" applyFont="1" applyBorder="1" applyAlignment="1">
      <alignment wrapText="1"/>
    </xf>
    <xf numFmtId="0" fontId="25" fillId="0" borderId="21" xfId="0" applyFont="1" applyBorder="1" applyAlignment="1">
      <alignment horizontal="left" vertical="top" wrapText="1"/>
    </xf>
    <xf numFmtId="0" fontId="25" fillId="0" borderId="5" xfId="0" applyFont="1" applyBorder="1" applyAlignment="1">
      <alignment horizontal="left" vertical="top" wrapText="1"/>
    </xf>
    <xf numFmtId="0" fontId="25" fillId="0" borderId="21" xfId="0" applyFont="1" applyBorder="1" applyAlignment="1">
      <alignment vertical="center" wrapText="1"/>
    </xf>
    <xf numFmtId="0" fontId="25" fillId="0" borderId="5" xfId="0" applyFont="1" applyBorder="1" applyAlignment="1">
      <alignment vertical="center" wrapText="1"/>
    </xf>
    <xf numFmtId="0" fontId="25" fillId="0" borderId="4" xfId="0" applyFont="1" applyBorder="1" applyAlignment="1">
      <alignment horizontal="center" vertical="center" wrapText="1"/>
    </xf>
    <xf numFmtId="0" fontId="25" fillId="0" borderId="0" xfId="0" applyFont="1" applyBorder="1" applyAlignment="1">
      <alignment horizontal="center" vertical="center" wrapText="1"/>
    </xf>
    <xf numFmtId="0" fontId="33" fillId="0" borderId="3" xfId="0" applyFont="1" applyBorder="1" applyAlignment="1">
      <alignment wrapText="1"/>
    </xf>
    <xf numFmtId="0" fontId="25" fillId="0" borderId="21" xfId="0" applyFont="1" applyBorder="1" applyAlignment="1">
      <alignment horizontal="center" vertical="top" wrapText="1"/>
    </xf>
    <xf numFmtId="0" fontId="25" fillId="0" borderId="5" xfId="0" applyFont="1" applyBorder="1" applyAlignment="1">
      <alignment horizontal="center" vertical="top" wrapText="1"/>
    </xf>
    <xf numFmtId="0" fontId="25" fillId="0" borderId="0" xfId="0" applyFont="1" applyBorder="1" applyAlignment="1"/>
    <xf numFmtId="0" fontId="25" fillId="0" borderId="21" xfId="0" applyFont="1" applyBorder="1" applyAlignment="1">
      <alignment vertical="top" wrapText="1"/>
    </xf>
    <xf numFmtId="0" fontId="25" fillId="0" borderId="5" xfId="0" applyFont="1" applyBorder="1" applyAlignment="1">
      <alignment vertical="top" wrapText="1"/>
    </xf>
    <xf numFmtId="0" fontId="25" fillId="0" borderId="5" xfId="0" applyFont="1" applyBorder="1" applyAlignment="1">
      <alignment vertical="top"/>
    </xf>
    <xf numFmtId="0" fontId="33" fillId="0" borderId="20" xfId="0" applyFont="1" applyBorder="1" applyAlignment="1">
      <alignment horizontal="center" vertical="center"/>
    </xf>
    <xf numFmtId="0" fontId="33" fillId="0" borderId="3" xfId="0" applyFont="1" applyBorder="1" applyAlignment="1">
      <alignment horizontal="center" vertical="center"/>
    </xf>
    <xf numFmtId="0" fontId="33" fillId="0" borderId="0" xfId="0" applyFont="1" applyBorder="1" applyAlignment="1">
      <alignment horizontal="center" wrapText="1"/>
    </xf>
    <xf numFmtId="0" fontId="33" fillId="0" borderId="2" xfId="0" applyFont="1" applyBorder="1" applyAlignment="1">
      <alignment horizontal="center" wrapText="1"/>
    </xf>
  </cellXfs>
  <cellStyles count="4">
    <cellStyle name="Currency" xfId="2" builtinId="4"/>
    <cellStyle name="Hyperlink" xfId="1" builtinId="8"/>
    <cellStyle name="Normal" xfId="0" builtinId="0"/>
    <cellStyle name="Normal 2" xfId="3" xr:uid="{00000000-0005-0000-0000-000003000000}"/>
  </cellStyles>
  <dxfs count="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s>
  <tableStyles count="0" defaultTableStyle="TableStyleMedium9" defaultPivotStyle="PivotStyleLight16"/>
  <colors>
    <mruColors>
      <color rgb="FF33CC33"/>
      <color rgb="FF4F81BD"/>
      <color rgb="FF0066FF"/>
      <color rgb="FFDCFAC0"/>
      <color rgb="FFFFFF99"/>
      <color rgb="FF0000FF"/>
      <color rgb="FF008000"/>
      <color rgb="FF0B2B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37484538086144E-2"/>
          <c:y val="9.3599407285714364E-2"/>
          <c:w val="0.87396698409598195"/>
          <c:h val="0.80699028374418758"/>
        </c:manualLayout>
      </c:layout>
      <c:scatterChart>
        <c:scatterStyle val="smoothMarker"/>
        <c:varyColors val="0"/>
        <c:ser>
          <c:idx val="2"/>
          <c:order val="2"/>
          <c:tx>
            <c:v>Availabe Soil Moisture</c:v>
          </c:tx>
          <c:spPr>
            <a:ln>
              <a:solidFill>
                <a:srgbClr val="4F81BD"/>
              </a:solidFill>
            </a:ln>
          </c:spPr>
          <c:marker>
            <c:symbol val="none"/>
          </c:marker>
          <c:xVal>
            <c:strRef>
              <c:f>('IWM Evaluation'!$C$15:$C$98,'IWM Evaluation'!$J$15:$J$98)</c:f>
              <c:strCache>
                <c:ptCount val="1"/>
                <c:pt idx="0">
                  <c:v>1/0/1900</c:v>
                </c:pt>
              </c:strCache>
            </c:strRef>
          </c:xVal>
          <c:yVal>
            <c:numRef>
              <c:f>('IWM Evaluation'!$G$15:$G$98,'IWM Evaluation'!$N$15:$N$98)</c:f>
              <c:numCache>
                <c:formatCode>0.00</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yVal>
          <c:smooth val="1"/>
          <c:extLst>
            <c:ext xmlns:c16="http://schemas.microsoft.com/office/drawing/2014/chart" uri="{C3380CC4-5D6E-409C-BE32-E72D297353CC}">
              <c16:uniqueId val="{00000008-C12A-4887-AED2-B3E9C3F4EEBC}"/>
            </c:ext>
          </c:extLst>
        </c:ser>
        <c:ser>
          <c:idx val="3"/>
          <c:order val="3"/>
          <c:tx>
            <c:v>Management Allowed Deficit</c:v>
          </c:tx>
          <c:spPr>
            <a:ln w="12700">
              <a:solidFill>
                <a:srgbClr val="000000"/>
              </a:solidFill>
              <a:prstDash val="solid"/>
            </a:ln>
          </c:spPr>
          <c:marker>
            <c:symbol val="none"/>
          </c:marker>
          <c:xVal>
            <c:numRef>
              <c:f>'IWM Evaluation'!$W$111:$W$112</c:f>
              <c:numCache>
                <c:formatCode>m/d/yyyy</c:formatCode>
                <c:ptCount val="2"/>
                <c:pt idx="0">
                  <c:v>0</c:v>
                </c:pt>
                <c:pt idx="1">
                  <c:v>0</c:v>
                </c:pt>
              </c:numCache>
            </c:numRef>
          </c:xVal>
          <c:yVal>
            <c:numRef>
              <c:f>'IWM Evaluation'!$V$113:$V$114</c:f>
              <c:numCache>
                <c:formatCode>General</c:formatCode>
                <c:ptCount val="2"/>
                <c:pt idx="0">
                  <c:v>0</c:v>
                </c:pt>
                <c:pt idx="1">
                  <c:v>0</c:v>
                </c:pt>
              </c:numCache>
            </c:numRef>
          </c:yVal>
          <c:smooth val="1"/>
          <c:extLst>
            <c:ext xmlns:c16="http://schemas.microsoft.com/office/drawing/2014/chart" uri="{C3380CC4-5D6E-409C-BE32-E72D297353CC}">
              <c16:uniqueId val="{00000009-C12A-4887-AED2-B3E9C3F4EEBC}"/>
            </c:ext>
          </c:extLst>
        </c:ser>
        <c:ser>
          <c:idx val="4"/>
          <c:order val="4"/>
          <c:tx>
            <c:v>Field Capacity</c:v>
          </c:tx>
          <c:spPr>
            <a:ln w="12700">
              <a:solidFill>
                <a:srgbClr val="000000"/>
              </a:solidFill>
              <a:prstDash val="lgDash"/>
            </a:ln>
          </c:spPr>
          <c:marker>
            <c:symbol val="none"/>
          </c:marker>
          <c:xVal>
            <c:numRef>
              <c:f>'IWM Evaluation'!$W$111:$W$112</c:f>
              <c:numCache>
                <c:formatCode>m/d/yyyy</c:formatCode>
                <c:ptCount val="2"/>
                <c:pt idx="0">
                  <c:v>0</c:v>
                </c:pt>
                <c:pt idx="1">
                  <c:v>0</c:v>
                </c:pt>
              </c:numCache>
            </c:numRef>
          </c:xVal>
          <c:yVal>
            <c:numRef>
              <c:f>'IWM Evaluation'!$V$115:$V$116</c:f>
              <c:numCache>
                <c:formatCode>General</c:formatCode>
                <c:ptCount val="2"/>
                <c:pt idx="0">
                  <c:v>0</c:v>
                </c:pt>
                <c:pt idx="1">
                  <c:v>0</c:v>
                </c:pt>
              </c:numCache>
            </c:numRef>
          </c:yVal>
          <c:smooth val="1"/>
          <c:extLst>
            <c:ext xmlns:c16="http://schemas.microsoft.com/office/drawing/2014/chart" uri="{C3380CC4-5D6E-409C-BE32-E72D297353CC}">
              <c16:uniqueId val="{0000000A-C12A-4887-AED2-B3E9C3F4EEBC}"/>
            </c:ext>
          </c:extLst>
        </c:ser>
        <c:ser>
          <c:idx val="5"/>
          <c:order val="5"/>
          <c:tx>
            <c:v>Precipitation</c:v>
          </c:tx>
          <c:spPr>
            <a:ln w="28575" cap="rnd" cmpd="sng" algn="ctr">
              <a:noFill/>
              <a:prstDash val="solid"/>
              <a:round/>
            </a:ln>
            <a:effectLst/>
            <a:extLst>
              <a:ext uri="{91240B29-F687-4F45-9708-019B960494DF}">
                <a14:hiddenLine xmlns:a14="http://schemas.microsoft.com/office/drawing/2010/main" w="28575" cap="rnd" cmpd="sng" algn="ctr">
                  <a:solidFill>
                    <a:srgbClr val="F79646">
                      <a:shade val="76000"/>
                      <a:shade val="95000"/>
                      <a:satMod val="105000"/>
                    </a:srgbClr>
                  </a:solidFill>
                  <a:prstDash val="solid"/>
                  <a:round/>
                </a14:hiddenLine>
              </a:ext>
            </a:extLst>
          </c:spPr>
          <c:marker>
            <c:symbol val="diamond"/>
            <c:size val="7"/>
            <c:spPr>
              <a:solidFill>
                <a:srgbClr val="33CC33"/>
              </a:solidFill>
              <a:ln w="9525" cap="flat" cmpd="sng" algn="ctr">
                <a:noFill/>
                <a:prstDash val="solid"/>
                <a:round/>
              </a:ln>
              <a:effectLst/>
              <a:extLst>
                <a:ext uri="{91240B29-F687-4F45-9708-019B960494DF}">
                  <a14:hiddenLine xmlns:a14="http://schemas.microsoft.com/office/drawing/2010/main" w="9525" cap="flat" cmpd="sng" algn="ctr">
                    <a:solidFill>
                      <a:srgbClr val="F79646">
                        <a:shade val="76000"/>
                        <a:shade val="95000"/>
                        <a:satMod val="105000"/>
                      </a:srgbClr>
                    </a:solidFill>
                    <a:prstDash val="solid"/>
                    <a:round/>
                  </a14:hiddenLine>
                </a:ext>
              </a:extLst>
            </c:spPr>
          </c:marker>
          <c:xVal>
            <c:strRef>
              <c:f>('IWM Evaluation'!$C$15:$C$98,'IWM Evaluation'!$J$15:$J$98)</c:f>
              <c:strCache>
                <c:ptCount val="1"/>
                <c:pt idx="0">
                  <c:v>1/0/1900</c:v>
                </c:pt>
              </c:strCache>
            </c:strRef>
          </c:xVal>
          <c:yVal>
            <c:numRef>
              <c:f>('IWM Evaluation'!$E$15:$E$98,'IWM Evaluation'!$L$15:$L$98)</c:f>
              <c:numCache>
                <c:formatCode>0.00;\-0.00;;@</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yVal>
          <c:smooth val="1"/>
          <c:extLst>
            <c:ext xmlns:c16="http://schemas.microsoft.com/office/drawing/2014/chart" uri="{C3380CC4-5D6E-409C-BE32-E72D297353CC}">
              <c16:uniqueId val="{0000000B-C12A-4887-AED2-B3E9C3F4EEBC}"/>
            </c:ext>
          </c:extLst>
        </c:ser>
        <c:ser>
          <c:idx val="6"/>
          <c:order val="6"/>
          <c:tx>
            <c:v>Irrigation</c:v>
          </c:tx>
          <c:spPr>
            <a:ln w="28575" cap="rnd" cmpd="sng" algn="ctr">
              <a:noFill/>
              <a:prstDash val="solid"/>
              <a:round/>
            </a:ln>
            <a:effectLst/>
            <a:extLst>
              <a:ext uri="{91240B29-F687-4F45-9708-019B960494DF}">
                <a14:hiddenLine xmlns:a14="http://schemas.microsoft.com/office/drawing/2010/main" w="28575" cap="rnd" cmpd="sng" algn="ctr">
                  <a:solidFill>
                    <a:srgbClr val="4F81BD">
                      <a:tint val="77000"/>
                      <a:shade val="95000"/>
                      <a:satMod val="105000"/>
                    </a:srgbClr>
                  </a:solidFill>
                  <a:prstDash val="solid"/>
                  <a:round/>
                </a14:hiddenLine>
              </a:ext>
            </a:extLst>
          </c:spPr>
          <c:marker>
            <c:symbol val="circle"/>
            <c:size val="7"/>
            <c:spPr>
              <a:solidFill>
                <a:srgbClr val="FF0000"/>
              </a:solidFill>
              <a:ln w="9525" cap="flat" cmpd="sng" algn="ctr">
                <a:noFill/>
                <a:prstDash val="solid"/>
                <a:round/>
              </a:ln>
              <a:effectLst/>
              <a:extLst>
                <a:ext uri="{91240B29-F687-4F45-9708-019B960494DF}">
                  <a14:hiddenLine xmlns:a14="http://schemas.microsoft.com/office/drawing/2010/main" w="9525" cap="flat" cmpd="sng" algn="ctr">
                    <a:solidFill>
                      <a:srgbClr val="4F81BD">
                        <a:tint val="77000"/>
                        <a:shade val="95000"/>
                        <a:satMod val="105000"/>
                      </a:srgbClr>
                    </a:solidFill>
                    <a:prstDash val="solid"/>
                    <a:round/>
                  </a14:hiddenLine>
                </a:ext>
              </a:extLst>
            </c:spPr>
          </c:marker>
          <c:xVal>
            <c:strRef>
              <c:f>('IWM Evaluation'!$C$15:$C$98,'IWM Evaluation'!$J$15:$J$98)</c:f>
              <c:strCache>
                <c:ptCount val="1"/>
                <c:pt idx="0">
                  <c:v>1/0/1900</c:v>
                </c:pt>
              </c:strCache>
            </c:strRef>
          </c:xVal>
          <c:yVal>
            <c:numRef>
              <c:f>('IWM Evaluation'!$F$15:$F$98,'IWM Evaluation'!$M$15:$M$98)</c:f>
              <c:numCache>
                <c:formatCode>0.00;\-0.00;;@</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yVal>
          <c:smooth val="1"/>
          <c:extLst>
            <c:ext xmlns:c16="http://schemas.microsoft.com/office/drawing/2014/chart" uri="{C3380CC4-5D6E-409C-BE32-E72D297353CC}">
              <c16:uniqueId val="{0000000C-C12A-4887-AED2-B3E9C3F4EEBC}"/>
            </c:ext>
          </c:extLst>
        </c:ser>
        <c:ser>
          <c:idx val="0"/>
          <c:order val="0"/>
          <c:tx>
            <c:v>MAD - maintain soil moisture above this line</c:v>
          </c:tx>
          <c:spPr>
            <a:ln w="38100">
              <a:solidFill>
                <a:srgbClr val="FF0000"/>
              </a:solidFill>
              <a:prstDash val="dash"/>
            </a:ln>
          </c:spPr>
          <c:xVal>
            <c:strRef>
              <c:f>('IWM Evaluation'!$C$15:$C$98,'IWM Evaluation'!$J$15:$J$98)</c:f>
              <c:strCache>
                <c:ptCount val="1"/>
                <c:pt idx="0">
                  <c:v>1/0/1900</c:v>
                </c:pt>
              </c:strCache>
            </c:strRef>
          </c:xVal>
          <c:yVal>
            <c:numRef>
              <c:f>('IWM Evaluation'!$AN$15:$AN$98,'IWM Evaluation'!$AO$15:$AO$98)</c:f>
            </c:numRef>
          </c:yVal>
          <c:smooth val="1"/>
          <c:extLst>
            <c:ext xmlns:c16="http://schemas.microsoft.com/office/drawing/2014/chart" uri="{C3380CC4-5D6E-409C-BE32-E72D297353CC}">
              <c16:uniqueId val="{00000002-1A39-4B14-A003-86B773F09E80}"/>
            </c:ext>
          </c:extLst>
        </c:ser>
        <c:ser>
          <c:idx val="1"/>
          <c:order val="1"/>
          <c:tx>
            <c:v>Water Holding Capacity of the Soil</c:v>
          </c:tx>
          <c:yVal>
            <c:numRef>
              <c:f>('IWM Evaluation'!$AL$15:$AL$98,'IWM Evaluation'!$AM$15:$AM$98)</c:f>
            </c:numRef>
          </c:yVal>
          <c:smooth val="1"/>
          <c:extLst>
            <c:ext xmlns:c16="http://schemas.microsoft.com/office/drawing/2014/chart" uri="{C3380CC4-5D6E-409C-BE32-E72D297353CC}">
              <c16:uniqueId val="{00000003-1A39-4B14-A003-86B773F09E80}"/>
            </c:ext>
          </c:extLst>
        </c:ser>
        <c:dLbls>
          <c:showLegendKey val="0"/>
          <c:showVal val="0"/>
          <c:showCatName val="0"/>
          <c:showSerName val="0"/>
          <c:showPercent val="0"/>
          <c:showBubbleSize val="0"/>
        </c:dLbls>
        <c:axId val="284542280"/>
        <c:axId val="284542672"/>
      </c:scatterChart>
      <c:valAx>
        <c:axId val="284542280"/>
        <c:scaling>
          <c:orientation val="minMax"/>
        </c:scaling>
        <c:delete val="0"/>
        <c:axPos val="b"/>
        <c:majorGridlines>
          <c:spPr>
            <a:ln>
              <a:solidFill>
                <a:srgbClr val="D9D9D9"/>
              </a:solidFill>
            </a:ln>
          </c:spPr>
        </c:majorGridlines>
        <c:title>
          <c:tx>
            <c:rich>
              <a:bodyPr rot="0" vert="horz"/>
              <a:lstStyle/>
              <a:p>
                <a:pPr>
                  <a:defRPr sz="1000" baseline="0">
                    <a:latin typeface="Calibri"/>
                    <a:ea typeface="Calibri"/>
                    <a:cs typeface="Calibri"/>
                  </a:defRPr>
                </a:pPr>
                <a:r>
                  <a:rPr lang="en-US"/>
                  <a:t>Date</a:t>
                </a:r>
              </a:p>
            </c:rich>
          </c:tx>
          <c:layout>
            <c:manualLayout>
              <c:xMode val="edge"/>
              <c:yMode val="edge"/>
              <c:x val="0.4909942335030773"/>
              <c:y val="0.95878661548243993"/>
            </c:manualLayout>
          </c:layout>
          <c:overlay val="0"/>
        </c:title>
        <c:numFmt formatCode="m/d/yyyy" sourceLinked="1"/>
        <c:majorTickMark val="out"/>
        <c:minorTickMark val="none"/>
        <c:tickLblPos val="nextTo"/>
        <c:txPr>
          <a:bodyPr/>
          <a:lstStyle/>
          <a:p>
            <a:pPr>
              <a:defRPr baseline="0"/>
            </a:pPr>
            <a:endParaRPr lang="en-US"/>
          </a:p>
        </c:txPr>
        <c:crossAx val="284542672"/>
        <c:crossesAt val="0"/>
        <c:crossBetween val="midCat"/>
        <c:majorUnit val="20"/>
      </c:valAx>
      <c:valAx>
        <c:axId val="284542672"/>
        <c:scaling>
          <c:orientation val="minMax"/>
        </c:scaling>
        <c:delete val="0"/>
        <c:axPos val="l"/>
        <c:majorGridlines>
          <c:spPr>
            <a:ln>
              <a:solidFill>
                <a:srgbClr val="D9D9D9"/>
              </a:solidFill>
            </a:ln>
          </c:spPr>
        </c:majorGridlines>
        <c:title>
          <c:tx>
            <c:rich>
              <a:bodyPr rot="-5400000" vert="horz" anchor="ctr" anchorCtr="1"/>
              <a:lstStyle/>
              <a:p>
                <a:pPr>
                  <a:defRPr sz="1000" baseline="0">
                    <a:latin typeface="Calibri"/>
                    <a:ea typeface="Calibri"/>
                    <a:cs typeface="Calibri"/>
                  </a:defRPr>
                </a:pPr>
                <a:r>
                  <a:rPr lang="en-US"/>
                  <a:t>Soil Moisture / Irrigation Applied (inches)</a:t>
                </a:r>
              </a:p>
            </c:rich>
          </c:tx>
          <c:layout>
            <c:manualLayout>
              <c:xMode val="edge"/>
              <c:yMode val="edge"/>
              <c:x val="1.9582874493562965E-2"/>
              <c:y val="0.3112581674743829"/>
            </c:manualLayout>
          </c:layout>
          <c:overlay val="0"/>
        </c:title>
        <c:numFmt formatCode="0.0" sourceLinked="0"/>
        <c:majorTickMark val="out"/>
        <c:minorTickMark val="none"/>
        <c:tickLblPos val="nextTo"/>
        <c:txPr>
          <a:bodyPr/>
          <a:lstStyle/>
          <a:p>
            <a:pPr>
              <a:defRPr baseline="0"/>
            </a:pPr>
            <a:endParaRPr lang="en-US"/>
          </a:p>
        </c:txPr>
        <c:crossAx val="284542280"/>
        <c:crosses val="autoZero"/>
        <c:crossBetween val="midCat"/>
      </c:valAx>
    </c:plotArea>
    <c:legend>
      <c:legendPos val="t"/>
      <c:overlay val="0"/>
      <c:spPr>
        <a:ln w="3175" cap="flat">
          <a:bevel/>
        </a:ln>
      </c:spPr>
      <c:txPr>
        <a:bodyPr/>
        <a:lstStyle/>
        <a:p>
          <a:pPr>
            <a:defRPr kern="1200" spc="0" baseline="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000000000000366" l="0.70000000000000062" r="0.70000000000000062" t="0.750000000000003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Annual Cost Saving for Pumping plant</a:t>
            </a:r>
          </a:p>
        </c:rich>
      </c:tx>
      <c:overlay val="0"/>
    </c:title>
    <c:autoTitleDeleted val="0"/>
    <c:plotArea>
      <c:layout>
        <c:manualLayout>
          <c:layoutTarget val="inner"/>
          <c:xMode val="edge"/>
          <c:yMode val="edge"/>
          <c:x val="9.0860716916691162E-2"/>
          <c:y val="0.13108270633534322"/>
          <c:w val="0.8617326528332766"/>
          <c:h val="0.73055026601165951"/>
        </c:manualLayout>
      </c:layout>
      <c:lineChart>
        <c:grouping val="stacked"/>
        <c:varyColors val="0"/>
        <c:ser>
          <c:idx val="0"/>
          <c:order val="0"/>
          <c:tx>
            <c:v>Cost Saving for Pumping plant</c:v>
          </c:tx>
          <c:marker>
            <c:symbol val="none"/>
          </c:marker>
          <c:cat>
            <c:strRef>
              <c:f>('IWM Evaluation'!$C$15:$C$98,'IWM Evaluation'!$J$15:$J$98)</c:f>
              <c:strCache>
                <c:ptCount val="1"/>
                <c:pt idx="0">
                  <c:v>1/0/1900</c:v>
                </c:pt>
              </c:strCache>
            </c:strRef>
          </c:cat>
          <c:val>
            <c:numRef>
              <c:f>'IWM Evaluation'!$AP$15:$AP$146</c:f>
            </c:numRef>
          </c:val>
          <c:smooth val="0"/>
          <c:extLst>
            <c:ext xmlns:c16="http://schemas.microsoft.com/office/drawing/2014/chart" uri="{C3380CC4-5D6E-409C-BE32-E72D297353CC}">
              <c16:uniqueId val="{00000000-1035-4D23-96A5-8BFE0D71D25E}"/>
            </c:ext>
          </c:extLst>
        </c:ser>
        <c:dLbls>
          <c:showLegendKey val="0"/>
          <c:showVal val="0"/>
          <c:showCatName val="0"/>
          <c:showSerName val="0"/>
          <c:showPercent val="0"/>
          <c:showBubbleSize val="0"/>
        </c:dLbls>
        <c:marker val="1"/>
        <c:smooth val="0"/>
        <c:axId val="284543456"/>
        <c:axId val="284543848"/>
      </c:lineChart>
      <c:catAx>
        <c:axId val="284543456"/>
        <c:scaling>
          <c:orientation val="minMax"/>
        </c:scaling>
        <c:delete val="0"/>
        <c:axPos val="b"/>
        <c:numFmt formatCode="m/d;@" sourceLinked="0"/>
        <c:majorTickMark val="out"/>
        <c:minorTickMark val="none"/>
        <c:tickLblPos val="nextTo"/>
        <c:crossAx val="284543848"/>
        <c:crosses val="autoZero"/>
        <c:auto val="1"/>
        <c:lblAlgn val="ctr"/>
        <c:lblOffset val="100"/>
        <c:noMultiLvlLbl val="1"/>
      </c:catAx>
      <c:valAx>
        <c:axId val="284543848"/>
        <c:scaling>
          <c:orientation val="minMax"/>
        </c:scaling>
        <c:delete val="0"/>
        <c:axPos val="l"/>
        <c:majorGridlines/>
        <c:numFmt formatCode="\$#,##0.00" sourceLinked="0"/>
        <c:majorTickMark val="out"/>
        <c:minorTickMark val="none"/>
        <c:tickLblPos val="nextTo"/>
        <c:crossAx val="284543456"/>
        <c:crosses val="autoZero"/>
        <c:crossBetween val="between"/>
      </c:valAx>
    </c:plotArea>
    <c:legend>
      <c:legendPos val="r"/>
      <c:layout>
        <c:manualLayout>
          <c:xMode val="edge"/>
          <c:yMode val="edge"/>
          <c:x val="0.32180121678834217"/>
          <c:y val="7.018076626173958E-2"/>
          <c:w val="0.30450674946662082"/>
          <c:h val="7.1398662791310921E-2"/>
        </c:manualLayout>
      </c:layout>
      <c:overlay val="0"/>
      <c:txPr>
        <a:bodyPr/>
        <a:lstStyle/>
        <a:p>
          <a:pPr>
            <a:defRPr sz="1400" b="1"/>
          </a:pPr>
          <a:endParaRPr lang="en-US"/>
        </a:p>
      </c:txPr>
    </c:legend>
    <c:plotVisOnly val="1"/>
    <c:dispBlanksAs val="zero"/>
    <c:showDLblsOverMax val="0"/>
  </c:chart>
  <c:printSettings>
    <c:headerFooter/>
    <c:pageMargins b="0.75000000000000366" l="0.70000000000000062" r="0.70000000000000062" t="0.7500000000000036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8.emf"/><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chart" Target="../charts/chart1.xml"/><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94075</xdr:colOff>
      <xdr:row>0</xdr:row>
      <xdr:rowOff>0</xdr:rowOff>
    </xdr:from>
    <xdr:to>
      <xdr:col>10</xdr:col>
      <xdr:colOff>94074</xdr:colOff>
      <xdr:row>63</xdr:row>
      <xdr:rowOff>144378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4075" y="0"/>
          <a:ext cx="6114814" cy="12533934"/>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600" b="0" i="0" u="none" strike="noStrike">
              <a:solidFill>
                <a:schemeClr val="dk1"/>
              </a:solidFill>
              <a:effectLst/>
              <a:latin typeface="+mn-lt"/>
              <a:ea typeface="+mn-ea"/>
              <a:cs typeface="+mn-cs"/>
            </a:rPr>
            <a:t>Version 1.0  8/5/2015</a:t>
          </a:r>
        </a:p>
        <a:p>
          <a:pPr algn="ctr"/>
          <a:r>
            <a:rPr lang="en-US" sz="1400" b="1" i="0" u="none" strike="noStrike">
              <a:solidFill>
                <a:schemeClr val="dk1"/>
              </a:solidFill>
              <a:effectLst/>
              <a:latin typeface="+mn-lt"/>
              <a:ea typeface="+mn-ea"/>
              <a:cs typeface="+mn-cs"/>
            </a:rPr>
            <a:t>Instructions</a:t>
          </a:r>
          <a:r>
            <a:rPr lang="en-US" sz="1400" b="1" i="0" u="none" strike="noStrike" baseline="0">
              <a:solidFill>
                <a:schemeClr val="dk1"/>
              </a:solidFill>
              <a:effectLst/>
              <a:latin typeface="+mn-lt"/>
              <a:ea typeface="+mn-ea"/>
              <a:cs typeface="+mn-cs"/>
            </a:rPr>
            <a:t> and Helpful Hints</a:t>
          </a:r>
          <a:endParaRPr lang="en-US" sz="1400" b="1"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Overview</a:t>
          </a:r>
        </a:p>
        <a:p>
          <a:r>
            <a:rPr lang="en-US" sz="1100" b="0" i="0" u="none" strike="noStrike">
              <a:solidFill>
                <a:schemeClr val="dk1"/>
              </a:solidFill>
              <a:effectLst/>
              <a:latin typeface="+mn-lt"/>
              <a:ea typeface="+mn-ea"/>
              <a:cs typeface="+mn-cs"/>
            </a:rPr>
            <a:t>Producers implementing Irrigation Water Management </a:t>
          </a:r>
          <a:r>
            <a:rPr lang="en-US" sz="1100" b="0" i="0" u="none" strike="noStrike" baseline="0">
              <a:solidFill>
                <a:schemeClr val="dk1"/>
              </a:solidFill>
              <a:effectLst/>
              <a:latin typeface="+mn-lt"/>
              <a:ea typeface="+mn-ea"/>
              <a:cs typeface="+mn-cs"/>
            </a:rPr>
            <a:t> (IWM) shall collect and record the data needed to complete this workbook.  The producer shall complete this workbook at the end of each irrigation season (at a minimum), with assistance from NRCS if necessary.  An NRCS employee with adequate Job Approval Authority shall review the results with the producer and discuss the producers goals, how to improve IWM next year, and NRCS expectations for IWM.</a:t>
          </a:r>
        </a:p>
        <a:p>
          <a:endParaRPr lang="en-US"/>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INSTRUCTIONS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Have the producer complete if they are able, or</a:t>
          </a:r>
          <a:r>
            <a:rPr lang="en-US" sz="1100" b="0" i="0" baseline="0">
              <a:solidFill>
                <a:schemeClr val="dk1"/>
              </a:solidFill>
              <a:effectLst/>
              <a:latin typeface="+mn-lt"/>
              <a:ea typeface="+mn-ea"/>
              <a:cs typeface="+mn-cs"/>
            </a:rPr>
            <a:t> fill in </a:t>
          </a:r>
          <a:r>
            <a:rPr lang="en-US" sz="1100" b="0" i="1" u="sng" baseline="0">
              <a:solidFill>
                <a:schemeClr val="dk1"/>
              </a:solidFill>
              <a:effectLst/>
              <a:latin typeface="+mn-lt"/>
              <a:ea typeface="+mn-ea"/>
              <a:cs typeface="+mn-cs"/>
            </a:rPr>
            <a:t>WITH</a:t>
          </a:r>
          <a:r>
            <a:rPr lang="en-US" sz="1100" b="0" i="0" baseline="0">
              <a:solidFill>
                <a:schemeClr val="dk1"/>
              </a:solidFill>
              <a:effectLst/>
              <a:latin typeface="+mn-lt"/>
              <a:ea typeface="+mn-ea"/>
              <a:cs typeface="+mn-cs"/>
            </a:rPr>
            <a:t> the producer.</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dk1"/>
              </a:solidFill>
              <a:effectLst/>
              <a:latin typeface="+mn-lt"/>
              <a:ea typeface="+mn-ea"/>
              <a:cs typeface="+mn-cs"/>
            </a:rPr>
            <a:t>Fillable cells are shaded blue</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dk1"/>
              </a:solidFill>
              <a:effectLst/>
              <a:latin typeface="+mn-lt"/>
              <a:ea typeface="+mn-ea"/>
              <a:cs typeface="+mn-cs"/>
            </a:rPr>
            <a:t>Cells that calculate, but can be overridden are shaded purple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dk1"/>
              </a:solidFill>
              <a:effectLst/>
              <a:latin typeface="+mn-lt"/>
              <a:ea typeface="+mn-ea"/>
              <a:cs typeface="+mn-cs"/>
            </a:rPr>
            <a:t>Comments are used to assist the user.  Look for cells with a red triangle in the upper right corner.  Hover on the red triangle to read the comment.  </a:t>
          </a: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General Information Tab</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Fill in the information using site specific</a:t>
          </a:r>
          <a:r>
            <a:rPr lang="en-US" sz="1100" b="0" i="0" u="none" strike="noStrike" baseline="0">
              <a:solidFill>
                <a:schemeClr val="dk1"/>
              </a:solidFill>
              <a:effectLst/>
              <a:latin typeface="+mn-lt"/>
              <a:ea typeface="+mn-ea"/>
              <a:cs typeface="+mn-cs"/>
            </a:rPr>
            <a:t> information from the irrigation design, IWM plan, etc.  </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Helpful hints are provided in the margins to assist as needed.</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Use the notes section below to record irrigation related activities throughout the season.</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Water holding capacity should be based on crops rooting depth</a:t>
          </a:r>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u="sng"/>
            <a:t>Net Irrigation Calculator Tab </a:t>
          </a:r>
          <a:r>
            <a:rPr lang="en-US" i="1" u="sng"/>
            <a:t>(optional</a:t>
          </a:r>
          <a:r>
            <a:rPr lang="en-US" i="1" u="sng" baseline="0"/>
            <a:t>)</a:t>
          </a:r>
          <a:endParaRPr lang="en-US" i="1" u="sng"/>
        </a:p>
        <a:p>
          <a:pPr marL="171450" indent="-171450">
            <a:buFont typeface="Arial" panose="020B0604020202020204" pitchFamily="34" charset="0"/>
            <a:buChar char="•"/>
          </a:pPr>
          <a:r>
            <a:rPr lang="en-US"/>
            <a:t>Enter flow</a:t>
          </a:r>
          <a:r>
            <a:rPr lang="en-US" baseline="0"/>
            <a:t> meter readings from each irrigation event.</a:t>
          </a:r>
          <a:endParaRPr lang="en-US"/>
        </a:p>
        <a:p>
          <a:pPr marL="171450" indent="-171450">
            <a:buFont typeface="Arial" panose="020B0604020202020204" pitchFamily="34" charset="0"/>
            <a:buChar char="•"/>
          </a:pPr>
          <a:r>
            <a:rPr lang="en-US"/>
            <a:t>Use</a:t>
          </a:r>
          <a:r>
            <a:rPr lang="en-US" baseline="0"/>
            <a:t> to calculate the net amount of water applied for each application</a:t>
          </a:r>
        </a:p>
        <a:p>
          <a:pPr marL="171450" indent="-171450">
            <a:buFont typeface="Arial" panose="020B0604020202020204" pitchFamily="34" charset="0"/>
            <a:buChar char="•"/>
          </a:pPr>
          <a:endParaRPr lang="en-US"/>
        </a:p>
        <a:p>
          <a:r>
            <a:rPr lang="en-US" sz="1100" b="0" i="0" u="sng" strike="noStrike">
              <a:solidFill>
                <a:schemeClr val="dk1"/>
              </a:solidFill>
              <a:effectLst/>
              <a:latin typeface="+mn-lt"/>
              <a:ea typeface="+mn-ea"/>
              <a:cs typeface="+mn-cs"/>
            </a:rPr>
            <a:t>Moisture Sensors Tab </a:t>
          </a:r>
          <a:r>
            <a:rPr lang="en-US" sz="1100" b="0" i="1" u="sng" strike="noStrike">
              <a:solidFill>
                <a:schemeClr val="dk1"/>
              </a:solidFill>
              <a:effectLst/>
              <a:latin typeface="+mn-lt"/>
              <a:ea typeface="+mn-ea"/>
              <a:cs typeface="+mn-cs"/>
            </a:rPr>
            <a:t>(optional)</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Enter in sensor</a:t>
          </a:r>
          <a:r>
            <a:rPr lang="en-US" sz="1100" b="0" i="0" u="none" strike="noStrike" baseline="0">
              <a:solidFill>
                <a:schemeClr val="dk1"/>
              </a:solidFill>
              <a:effectLst/>
              <a:latin typeface="+mn-lt"/>
              <a:ea typeface="+mn-ea"/>
              <a:cs typeface="+mn-cs"/>
            </a:rPr>
            <a:t> readings taken throughout the season</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Enter the results in the IWM Evaluation Tab to override the calculated Available Soil Moisture for the corresponding date.</a:t>
          </a:r>
        </a:p>
        <a:p>
          <a:pPr marL="171450" indent="-171450">
            <a:buFont typeface="Wingdings" panose="05000000000000000000" pitchFamily="2" charset="2"/>
            <a:buChar char="§"/>
          </a:pPr>
          <a:endParaRPr lang="en-US" sz="1100" b="0" i="0" u="none" strike="noStrike" baseline="0">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Feel and Appearance Tab </a:t>
          </a:r>
          <a:r>
            <a:rPr lang="en-US" sz="1100" b="0" i="1" u="sng" strike="noStrike">
              <a:solidFill>
                <a:schemeClr val="dk1"/>
              </a:solidFill>
              <a:effectLst/>
              <a:latin typeface="+mn-lt"/>
              <a:ea typeface="+mn-ea"/>
              <a:cs typeface="+mn-cs"/>
            </a:rPr>
            <a:t>(informational)</a:t>
          </a:r>
        </a:p>
        <a:p>
          <a:r>
            <a:rPr lang="en-US" sz="1100" b="0" i="0" u="none" strike="noStrike">
              <a:solidFill>
                <a:schemeClr val="dk1"/>
              </a:solidFill>
              <a:effectLst/>
              <a:latin typeface="+mn-lt"/>
              <a:ea typeface="+mn-ea"/>
              <a:cs typeface="+mn-cs"/>
            </a:rPr>
            <a:t>Use the NRCS publication "Estimating Soil Moisture</a:t>
          </a:r>
          <a:r>
            <a:rPr lang="en-US" sz="1100" b="0" i="0" u="none" strike="noStrike" baseline="0">
              <a:solidFill>
                <a:schemeClr val="dk1"/>
              </a:solidFill>
              <a:effectLst/>
              <a:latin typeface="+mn-lt"/>
              <a:ea typeface="+mn-ea"/>
              <a:cs typeface="+mn-cs"/>
            </a:rPr>
            <a:t> by Feel and Appearance" when soil moisture equipment is not available. </a:t>
          </a:r>
        </a:p>
        <a:p>
          <a:endParaRPr lang="en-US" sz="1100" b="0" i="0" u="none" strike="noStrike" baseline="0">
            <a:solidFill>
              <a:schemeClr val="dk1"/>
            </a:solidFill>
            <a:effectLst/>
            <a:latin typeface="+mn-lt"/>
            <a:ea typeface="+mn-ea"/>
            <a:cs typeface="+mn-cs"/>
          </a:endParaRPr>
        </a:p>
        <a:p>
          <a:r>
            <a:rPr lang="en-US" sz="1100" b="0" i="0" u="sng" strike="noStrike" baseline="0">
              <a:solidFill>
                <a:schemeClr val="dk1"/>
              </a:solidFill>
              <a:effectLst/>
              <a:latin typeface="+mn-lt"/>
              <a:ea typeface="+mn-ea"/>
              <a:cs typeface="+mn-cs"/>
            </a:rPr>
            <a:t>NDAWN </a:t>
          </a:r>
          <a:r>
            <a:rPr lang="en-US" sz="1100" b="0" i="1" u="sng" strike="noStrike" baseline="0">
              <a:solidFill>
                <a:schemeClr val="dk1"/>
              </a:solidFill>
              <a:effectLst/>
              <a:latin typeface="+mn-lt"/>
              <a:ea typeface="+mn-ea"/>
              <a:cs typeface="+mn-cs"/>
            </a:rPr>
            <a:t>(optional)</a:t>
          </a:r>
        </a:p>
        <a:p>
          <a:r>
            <a:rPr lang="en-US" sz="1100" b="0" i="0" u="none" strike="noStrike" baseline="0">
              <a:solidFill>
                <a:schemeClr val="dk1"/>
              </a:solidFill>
              <a:effectLst/>
              <a:latin typeface="+mn-lt"/>
              <a:ea typeface="+mn-ea"/>
              <a:cs typeface="+mn-cs"/>
            </a:rPr>
            <a:t>Simply follow the instructions on the right.  When you open the csv file from NDAWN copy all the data (control + A while your mouse is in a cell that contains the data, control + C).  In this spreadsheet, click on the blue cell in the NDAWN tab and paste (control + v).  Use the reset button to clear the data.</a:t>
          </a:r>
        </a:p>
        <a:p>
          <a:endParaRPr lang="en-US" sz="1100" b="0" i="0" u="sng" strike="noStrike">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IWM Evaluation Tab</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i="1" u="sng">
              <a:solidFill>
                <a:sysClr val="windowText" lastClr="000000"/>
              </a:solidFill>
              <a:effectLst/>
              <a:latin typeface="+mn-lt"/>
              <a:ea typeface="+mn-ea"/>
              <a:cs typeface="+mn-cs"/>
            </a:rPr>
            <a:t>Applied</a:t>
          </a:r>
          <a:r>
            <a:rPr lang="en-US" sz="1100" i="1" u="sng" baseline="0">
              <a:solidFill>
                <a:sysClr val="windowText" lastClr="000000"/>
              </a:solidFill>
              <a:effectLst/>
              <a:latin typeface="+mn-lt"/>
              <a:ea typeface="+mn-ea"/>
              <a:cs typeface="+mn-cs"/>
            </a:rPr>
            <a:t> Irrigation Schedule</a:t>
          </a:r>
          <a:endParaRPr lang="en-US" sz="1100" i="1" u="sng">
            <a:solidFill>
              <a:sysClr val="windowText" lastClr="000000"/>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Crop Water Use can be obtained from NDAWN using the PET (Penman) values.  </a:t>
          </a:r>
          <a:r>
            <a:rPr lang="en-US" sz="1100" baseline="0">
              <a:solidFill>
                <a:srgbClr val="0066FF"/>
              </a:solidFill>
              <a:effectLst/>
              <a:latin typeface="+mn-lt"/>
              <a:ea typeface="+mn-ea"/>
              <a:cs typeface="+mn-cs"/>
            </a:rPr>
            <a:t>See instruction on right for using NDAWN data.</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baseline="0">
            <a:solidFill>
              <a:schemeClr val="dk1"/>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Obtain rainfall data from nearest NDAWN station, unless reliable daily records of rainfall are available from the site</a:t>
          </a:r>
          <a:r>
            <a:rPr lang="en-US" sz="1100" baseline="0">
              <a:solidFill>
                <a:schemeClr val="dk1"/>
              </a:solidFill>
              <a:effectLst/>
              <a:latin typeface="+mn-lt"/>
              <a:ea typeface="+mn-ea"/>
              <a:cs typeface="+mn-cs"/>
            </a:rPr>
            <a:t>.  </a:t>
          </a:r>
          <a:r>
            <a:rPr lang="en-US" sz="1100" baseline="0">
              <a:solidFill>
                <a:srgbClr val="0066FF"/>
              </a:solidFill>
              <a:effectLst/>
              <a:latin typeface="+mn-lt"/>
              <a:ea typeface="+mn-ea"/>
              <a:cs typeface="+mn-cs"/>
            </a:rPr>
            <a:t>See instruction on right for using NDAWN data.</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baseline="0">
            <a:solidFill>
              <a:schemeClr val="dk1"/>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If data</a:t>
          </a:r>
          <a:r>
            <a:rPr lang="en-US" sz="1100" baseline="0">
              <a:solidFill>
                <a:schemeClr val="dk1"/>
              </a:solidFill>
              <a:effectLst/>
              <a:latin typeface="+mn-lt"/>
              <a:ea typeface="+mn-ea"/>
              <a:cs typeface="+mn-cs"/>
            </a:rPr>
            <a:t> was entered in the Net Irrigaiton Calculator tab, it will automatically be brought over to the IWM Evaluation worksheet.  Otherwise, direclty e</a:t>
          </a:r>
          <a:r>
            <a:rPr lang="en-US" sz="1100">
              <a:solidFill>
                <a:schemeClr val="dk1"/>
              </a:solidFill>
              <a:effectLst/>
              <a:latin typeface="+mn-lt"/>
              <a:ea typeface="+mn-ea"/>
              <a:cs typeface="+mn-cs"/>
            </a:rPr>
            <a:t>nter the</a:t>
          </a:r>
          <a:r>
            <a:rPr lang="en-US" sz="1100" baseline="0">
              <a:solidFill>
                <a:schemeClr val="dk1"/>
              </a:solidFill>
              <a:effectLst/>
              <a:latin typeface="+mn-lt"/>
              <a:ea typeface="+mn-ea"/>
              <a:cs typeface="+mn-cs"/>
            </a:rPr>
            <a:t> amount of net water applied during each irrigation event in the Net Irrigation column.</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baseline="0">
            <a:solidFill>
              <a:schemeClr val="dk1"/>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Override the calculated Available Soil Moisture with onsite moisture sensor data.</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100" i="1" baseline="0">
            <a:solidFill>
              <a:schemeClr val="dk1"/>
            </a:solidFill>
            <a:effectLst/>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mn-lt"/>
              <a:ea typeface="+mn-ea"/>
              <a:cs typeface="+mn-cs"/>
            </a:rPr>
            <a:t>Results</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If the words "Below MAD Level" appear this means the crops are using more energy to draw water from the soil and productivity will be reduced.</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baseline="0">
            <a:solidFill>
              <a:schemeClr val="dk1"/>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If the word "Runoff/Deep Percolation" appear this means to much water was applied to the soil and was lost to the plant by runoff or deep percolation.</a:t>
          </a:r>
          <a:endParaRPr lang="en-US" sz="1100">
            <a:solidFill>
              <a:schemeClr val="dk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100">
            <a:solidFill>
              <a:schemeClr val="dk1"/>
            </a:solidFill>
            <a:effectLst/>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100" b="0" i="1" u="sng" strike="noStrike" kern="0" cap="none" spc="0" normalizeH="0" baseline="0" noProof="0">
              <a:ln>
                <a:noFill/>
              </a:ln>
              <a:solidFill>
                <a:sysClr val="windowText" lastClr="000000"/>
              </a:solidFill>
              <a:effectLst/>
              <a:uLnTx/>
              <a:uFillTx/>
              <a:latin typeface="+mn-lt"/>
              <a:ea typeface="+mn-ea"/>
              <a:cs typeface="+mn-cs"/>
            </a:rPr>
            <a:t>Recommended Irrigation Schedule</a:t>
          </a:r>
        </a:p>
        <a:p>
          <a:pPr marL="628650" lvl="1" indent="-171450">
            <a:buFont typeface="Arial" panose="020B0604020202020204" pitchFamily="34" charset="0"/>
            <a:buChar char="•"/>
          </a:pPr>
          <a:r>
            <a:rPr lang="en-US" sz="1100" b="0" i="0" u="none" strike="noStrike">
              <a:solidFill>
                <a:schemeClr val="dk1"/>
              </a:solidFill>
              <a:effectLst/>
              <a:latin typeface="+mn-lt"/>
              <a:ea typeface="+mn-ea"/>
              <a:cs typeface="+mn-cs"/>
            </a:rPr>
            <a:t>Make a recommendation on irrigation schedule, so no crop is stressed. (i.e. Below MAD Level or Runoff/Deep Percolation warnings do not appear)</a:t>
          </a:r>
        </a:p>
        <a:p>
          <a:pPr marL="628650" lvl="1" indent="-171450">
            <a:buFont typeface="Arial" panose="020B0604020202020204" pitchFamily="34" charset="0"/>
            <a:buChar char="•"/>
          </a:pPr>
          <a:r>
            <a:rPr lang="en-US" sz="1100" b="0" i="0" u="none" strike="noStrike">
              <a:solidFill>
                <a:schemeClr val="dk1"/>
              </a:solidFill>
              <a:effectLst/>
              <a:latin typeface="+mn-lt"/>
              <a:ea typeface="+mn-ea"/>
              <a:cs typeface="+mn-cs"/>
            </a:rPr>
            <a:t>Ensure</a:t>
          </a:r>
          <a:r>
            <a:rPr lang="en-US" sz="1100" b="0" i="0" u="none" strike="noStrike" baseline="0">
              <a:solidFill>
                <a:schemeClr val="dk1"/>
              </a:solidFill>
              <a:effectLst/>
              <a:latin typeface="+mn-lt"/>
              <a:ea typeface="+mn-ea"/>
              <a:cs typeface="+mn-cs"/>
            </a:rPr>
            <a:t> the recommendations are obtainable. i.e. Space net irrigations no closer than frequency would allow (i.e. if a pivot takes 42 hours to complete a full circle, net irrigation should not be on a 1 day spacing)</a:t>
          </a:r>
        </a:p>
        <a:p>
          <a:pPr marL="628650" lvl="1" indent="-171450">
            <a:buFont typeface="Arial" panose="020B0604020202020204" pitchFamily="34" charset="0"/>
            <a:buChar char="•"/>
          </a:pPr>
          <a:r>
            <a:rPr lang="en-US" sz="1100" b="0" i="0" u="none" strike="noStrike" baseline="0">
              <a:solidFill>
                <a:schemeClr val="dk1"/>
              </a:solidFill>
              <a:effectLst/>
              <a:latin typeface="+mn-lt"/>
              <a:ea typeface="+mn-ea"/>
              <a:cs typeface="+mn-cs"/>
            </a:rPr>
            <a:t>A graph is shown below the tables showing the results of using the recommended irrigation schedule.</a:t>
          </a:r>
          <a:endParaRPr lang="en-US"/>
        </a:p>
        <a:p>
          <a:pPr marL="171450" indent="-171450">
            <a:buFont typeface="Arial" panose="020B0604020202020204" pitchFamily="34" charset="0"/>
            <a:buChar char="•"/>
          </a:pPr>
          <a:endParaRPr lang="en-US"/>
        </a:p>
        <a:p>
          <a:r>
            <a:rPr lang="en-US" u="sng"/>
            <a:t>Certification Tab</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The</a:t>
          </a:r>
          <a:r>
            <a:rPr lang="en-US" sz="1100" b="0" i="0" u="none" strike="noStrike" baseline="0">
              <a:solidFill>
                <a:schemeClr val="dk1"/>
              </a:solidFill>
              <a:effectLst/>
              <a:latin typeface="+mn-lt"/>
              <a:ea typeface="+mn-ea"/>
              <a:cs typeface="+mn-cs"/>
            </a:rPr>
            <a:t> worksheets and results shall be reviewed by an NRCS employee with adequate Job Approval Authority.  </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Results, goals, and recommendations should then be reviewed with the producer.  </a:t>
          </a:r>
        </a:p>
        <a:p>
          <a:pPr marL="171450" indent="-171450">
            <a:buFont typeface="Arial" panose="020B0604020202020204" pitchFamily="34" charset="0"/>
            <a:buChar char="•"/>
          </a:pPr>
          <a:r>
            <a:rPr lang="en-US" sz="1100" b="0" i="1" u="none" strike="noStrike" baseline="0">
              <a:solidFill>
                <a:schemeClr val="dk1"/>
              </a:solidFill>
              <a:effectLst/>
              <a:latin typeface="+mn-lt"/>
              <a:ea typeface="+mn-ea"/>
              <a:cs typeface="+mn-cs"/>
            </a:rPr>
            <a:t>Note - a graph showing the annual cost savings for the pumping plant is shown on the side.</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Then the producer, NRCS representative and approver should sign the Certification.  </a:t>
          </a:r>
        </a:p>
        <a:p>
          <a:pPr marL="171450" indent="-171450">
            <a:buFont typeface="Arial" panose="020B0604020202020204" pitchFamily="34" charset="0"/>
            <a:buChar char="•"/>
          </a:pPr>
          <a:r>
            <a:rPr lang="en-US" sz="1100" b="0" i="0" u="none" strike="noStrike" baseline="0">
              <a:solidFill>
                <a:schemeClr val="dk1"/>
              </a:solidFill>
              <a:effectLst/>
              <a:latin typeface="+mn-lt"/>
              <a:ea typeface="+mn-ea"/>
              <a:cs typeface="+mn-cs"/>
            </a:rPr>
            <a:t>A copy of the worksheet should be given to the producer and a copy should be placed in their folder for documentation.</a:t>
          </a:r>
          <a:endParaRPr lang="en-US"/>
        </a:p>
      </xdr:txBody>
    </xdr:sp>
    <xdr:clientData/>
  </xdr:twoCellAnchor>
  <xdr:twoCellAnchor>
    <xdr:from>
      <xdr:col>3</xdr:col>
      <xdr:colOff>184484</xdr:colOff>
      <xdr:row>9</xdr:row>
      <xdr:rowOff>134180</xdr:rowOff>
    </xdr:from>
    <xdr:to>
      <xdr:col>4</xdr:col>
      <xdr:colOff>160421</xdr:colOff>
      <xdr:row>10</xdr:row>
      <xdr:rowOff>72981</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2018928" y="1921587"/>
          <a:ext cx="587419" cy="136357"/>
        </a:xfrm>
        <a:prstGeom prst="rect">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410757</xdr:colOff>
      <xdr:row>11</xdr:row>
      <xdr:rowOff>8513</xdr:rowOff>
    </xdr:from>
    <xdr:to>
      <xdr:col>10</xdr:col>
      <xdr:colOff>39906</xdr:colOff>
      <xdr:row>11</xdr:row>
      <xdr:rowOff>201842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t="16433"/>
        <a:stretch/>
      </xdr:blipFill>
      <xdr:spPr>
        <a:xfrm>
          <a:off x="5914090" y="2191032"/>
          <a:ext cx="240631" cy="193329"/>
        </a:xfrm>
        <a:prstGeom prst="rect">
          <a:avLst/>
        </a:prstGeom>
      </xdr:spPr>
    </xdr:pic>
    <xdr:clientData/>
  </xdr:twoCellAnchor>
  <xdr:twoCellAnchor>
    <xdr:from>
      <xdr:col>6</xdr:col>
      <xdr:colOff>206963</xdr:colOff>
      <xdr:row>10</xdr:row>
      <xdr:rowOff>84667</xdr:rowOff>
    </xdr:from>
    <xdr:to>
      <xdr:col>7</xdr:col>
      <xdr:colOff>182901</xdr:colOff>
      <xdr:row>11</xdr:row>
      <xdr:rowOff>23468</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3875852" y="2069630"/>
          <a:ext cx="587419" cy="136357"/>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611480</xdr:colOff>
      <xdr:row>4</xdr:row>
      <xdr:rowOff>178740</xdr:rowOff>
    </xdr:from>
    <xdr:to>
      <xdr:col>19</xdr:col>
      <xdr:colOff>602073</xdr:colOff>
      <xdr:row>68</xdr:row>
      <xdr:rowOff>28222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726295" y="968962"/>
          <a:ext cx="6716889" cy="12436593"/>
        </a:xfrm>
        <a:prstGeom prst="rect">
          <a:avLst/>
        </a:prstGeom>
        <a:solidFill>
          <a:srgbClr val="DCFA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a:solidFill>
                <a:schemeClr val="dk1"/>
              </a:solidFill>
              <a:effectLst/>
              <a:latin typeface="+mn-lt"/>
              <a:ea typeface="+mn-ea"/>
              <a:cs typeface="+mn-cs"/>
            </a:rPr>
            <a:t>Click on “Weather Data” in the left menu</a:t>
          </a:r>
        </a:p>
        <a:p>
          <a:r>
            <a:rPr lang="en-US" sz="1100">
              <a:solidFill>
                <a:schemeClr val="dk1"/>
              </a:solidFill>
              <a:effectLst/>
              <a:latin typeface="+mn-lt"/>
              <a:ea typeface="+mn-ea"/>
              <a:cs typeface="+mn-cs"/>
            </a:rPr>
            <a:t>  &gt;   Click on Daily from the Weather Data menu</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Select the following:</a:t>
          </a:r>
        </a:p>
        <a:p>
          <a:pPr lvl="1"/>
          <a:r>
            <a:rPr lang="en-US" sz="1100">
              <a:solidFill>
                <a:schemeClr val="dk1"/>
              </a:solidFill>
              <a:effectLst/>
              <a:latin typeface="+mn-lt"/>
              <a:ea typeface="+mn-ea"/>
              <a:cs typeface="+mn-cs"/>
            </a:rPr>
            <a:t> Stations</a:t>
          </a:r>
        </a:p>
        <a:p>
          <a:pPr lvl="2"/>
          <a:r>
            <a:rPr lang="en-US" sz="1100">
              <a:solidFill>
                <a:schemeClr val="dk1"/>
              </a:solidFill>
              <a:effectLst/>
              <a:latin typeface="+mn-lt"/>
              <a:ea typeface="+mn-ea"/>
              <a:cs typeface="+mn-cs"/>
            </a:rPr>
            <a:t>The closest NDAWN station to the site</a:t>
          </a:r>
        </a:p>
        <a:p>
          <a:pPr lvl="1"/>
          <a:r>
            <a:rPr lang="en-US" sz="1100">
              <a:solidFill>
                <a:schemeClr val="dk1"/>
              </a:solidFill>
              <a:effectLst/>
              <a:latin typeface="+mn-lt"/>
              <a:ea typeface="+mn-ea"/>
              <a:cs typeface="+mn-cs"/>
            </a:rPr>
            <a:t> Variables</a:t>
          </a:r>
        </a:p>
        <a:p>
          <a:pPr lvl="2"/>
          <a:r>
            <a:rPr lang="en-US" sz="1100">
              <a:solidFill>
                <a:schemeClr val="dk1"/>
              </a:solidFill>
              <a:effectLst/>
              <a:latin typeface="+mn-lt"/>
              <a:ea typeface="+mn-ea"/>
              <a:cs typeface="+mn-cs"/>
            </a:rPr>
            <a:t>While holding the “control” key on your keyboard select:</a:t>
          </a:r>
        </a:p>
        <a:p>
          <a:pPr lvl="3"/>
          <a:r>
            <a:rPr lang="en-US" sz="1100">
              <a:solidFill>
                <a:schemeClr val="dk1"/>
              </a:solidFill>
              <a:effectLst/>
              <a:latin typeface="+mn-lt"/>
              <a:ea typeface="+mn-ea"/>
              <a:cs typeface="+mn-cs"/>
            </a:rPr>
            <a:t>Rainfall - Total </a:t>
          </a:r>
        </a:p>
        <a:p>
          <a:pPr lvl="3"/>
          <a:r>
            <a:rPr lang="en-US" sz="1100">
              <a:solidFill>
                <a:schemeClr val="dk1"/>
              </a:solidFill>
              <a:effectLst/>
              <a:latin typeface="+mn-lt"/>
              <a:ea typeface="+mn-ea"/>
              <a:cs typeface="+mn-cs"/>
            </a:rPr>
            <a:t>PET (Penman) – Total  </a:t>
          </a:r>
        </a:p>
        <a:p>
          <a:pPr lvl="1"/>
          <a:r>
            <a:rPr lang="en-US" sz="1100">
              <a:solidFill>
                <a:schemeClr val="dk1"/>
              </a:solidFill>
              <a:effectLst/>
              <a:latin typeface="+mn-lt"/>
              <a:ea typeface="+mn-ea"/>
              <a:cs typeface="+mn-cs"/>
            </a:rPr>
            <a:t>Time Period – Enter Begin and End Dates</a:t>
          </a:r>
        </a:p>
        <a:p>
          <a:pPr marL="1085850" lvl="2" indent="-171450">
            <a:buFont typeface="Arial" panose="020B0604020202020204" pitchFamily="34" charset="0"/>
            <a:buChar char="•"/>
          </a:pPr>
          <a:r>
            <a:rPr lang="en-US" sz="1100">
              <a:solidFill>
                <a:schemeClr val="dk1"/>
              </a:solidFill>
              <a:effectLst/>
              <a:latin typeface="+mn-lt"/>
              <a:ea typeface="+mn-ea"/>
              <a:cs typeface="+mn-cs"/>
            </a:rPr>
            <a:t>Begin date will be the start of emergence</a:t>
          </a:r>
        </a:p>
        <a:p>
          <a:pPr marL="1085850" lvl="2" indent="-171450">
            <a:buFont typeface="Arial" panose="020B0604020202020204" pitchFamily="34" charset="0"/>
            <a:buChar char="•"/>
          </a:pPr>
          <a:r>
            <a:rPr lang="en-US" sz="1100">
              <a:solidFill>
                <a:schemeClr val="dk1"/>
              </a:solidFill>
              <a:effectLst/>
              <a:latin typeface="+mn-lt"/>
              <a:ea typeface="+mn-ea"/>
              <a:cs typeface="+mn-cs"/>
            </a:rPr>
            <a:t>End date will be after the crop is harvested</a:t>
          </a:r>
          <a:r>
            <a:rPr lang="en-US" sz="1100" baseline="0">
              <a:solidFill>
                <a:schemeClr val="dk1"/>
              </a:solidFill>
              <a:effectLst/>
              <a:latin typeface="+mn-lt"/>
              <a:ea typeface="+mn-ea"/>
              <a:cs typeface="+mn-cs"/>
            </a:rPr>
            <a:t> (the IWM Evaluation worksheet automatically populates dates - use as a guide)</a:t>
          </a:r>
          <a:endParaRPr lang="en-US" sz="1100">
            <a:solidFill>
              <a:schemeClr val="dk1"/>
            </a:solidFill>
            <a:effectLst/>
            <a:latin typeface="+mn-lt"/>
            <a:ea typeface="+mn-ea"/>
            <a:cs typeface="+mn-cs"/>
          </a:endParaRPr>
        </a:p>
        <a:p>
          <a:pPr marL="1085850" lvl="2" indent="-171450">
            <a:buFont typeface="Arial" panose="020B0604020202020204" pitchFamily="34" charset="0"/>
            <a:buChar char="•"/>
          </a:pPr>
          <a:r>
            <a:rPr lang="en-US" sz="1100">
              <a:solidFill>
                <a:schemeClr val="dk1"/>
              </a:solidFill>
              <a:effectLst/>
              <a:latin typeface="+mn-lt"/>
              <a:ea typeface="+mn-ea"/>
              <a:cs typeface="+mn-cs"/>
            </a:rPr>
            <a:t>Click on “Get Table”</a:t>
          </a: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pPr lvl="2"/>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 new page will automatically open &gt; Click “Export CSV File”</a:t>
          </a:r>
        </a:p>
        <a:p>
          <a:pPr lvl="0"/>
          <a:r>
            <a:rPr lang="en-US" sz="1100">
              <a:solidFill>
                <a:schemeClr val="dk1"/>
              </a:solidFill>
              <a:effectLst/>
              <a:latin typeface="+mn-lt"/>
              <a:ea typeface="+mn-ea"/>
              <a:cs typeface="+mn-cs"/>
            </a:rPr>
            <a:t>You may be asked to Open or Save the file.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Once the file is opened in Excel select all the data (control + A) and copy the</a:t>
          </a:r>
          <a:r>
            <a:rPr lang="en-US" sz="1100" baseline="0">
              <a:solidFill>
                <a:schemeClr val="dk1"/>
              </a:solidFill>
              <a:effectLst/>
              <a:latin typeface="+mn-lt"/>
              <a:ea typeface="+mn-ea"/>
              <a:cs typeface="+mn-cs"/>
            </a:rPr>
            <a:t> data </a:t>
          </a:r>
          <a:r>
            <a:rPr lang="en-US" sz="1100">
              <a:solidFill>
                <a:schemeClr val="dk1"/>
              </a:solidFill>
              <a:effectLst/>
              <a:latin typeface="+mn-lt"/>
              <a:ea typeface="+mn-ea"/>
              <a:cs typeface="+mn-cs"/>
            </a:rPr>
            <a:t>(control + C)</a:t>
          </a:r>
        </a:p>
        <a:p>
          <a:pPr lvl="0"/>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In this spreadsheet &gt; NDAWN</a:t>
          </a:r>
          <a:r>
            <a:rPr lang="en-US" sz="1100" baseline="0">
              <a:solidFill>
                <a:schemeClr val="dk1"/>
              </a:solidFill>
              <a:effectLst/>
              <a:latin typeface="+mn-lt"/>
              <a:ea typeface="+mn-ea"/>
              <a:cs typeface="+mn-cs"/>
            </a:rPr>
            <a:t> Tab</a:t>
          </a:r>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Click on the blue cell (cell B1)</a:t>
          </a:r>
          <a:r>
            <a:rPr lang="en-US" sz="1100" baseline="0">
              <a:solidFill>
                <a:schemeClr val="dk1"/>
              </a:solidFill>
              <a:effectLst/>
              <a:latin typeface="+mn-lt"/>
              <a:ea typeface="+mn-ea"/>
              <a:cs typeface="+mn-cs"/>
            </a:rPr>
            <a:t> and paste the data (control + V)</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11</xdr:col>
      <xdr:colOff>413925</xdr:colOff>
      <xdr:row>8</xdr:row>
      <xdr:rowOff>9408</xdr:rowOff>
    </xdr:from>
    <xdr:to>
      <xdr:col>16</xdr:col>
      <xdr:colOff>1298221</xdr:colOff>
      <xdr:row>19</xdr:row>
      <xdr:rowOff>169334</xdr:rowOff>
    </xdr:to>
    <xdr:pic>
      <xdr:nvPicPr>
        <xdr:cNvPr id="13" name="Picture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0221" y="1599260"/>
          <a:ext cx="3941704" cy="2351852"/>
        </a:xfrm>
        <a:prstGeom prst="rect">
          <a:avLst/>
        </a:prstGeom>
        <a:ln>
          <a:solidFill>
            <a:schemeClr val="tx1"/>
          </a:solidFill>
        </a:ln>
      </xdr:spPr>
    </xdr:pic>
    <xdr:clientData/>
  </xdr:twoCellAnchor>
  <xdr:twoCellAnchor editAs="oneCell">
    <xdr:from>
      <xdr:col>16</xdr:col>
      <xdr:colOff>1721553</xdr:colOff>
      <xdr:row>8</xdr:row>
      <xdr:rowOff>18816</xdr:rowOff>
    </xdr:from>
    <xdr:to>
      <xdr:col>18</xdr:col>
      <xdr:colOff>479778</xdr:colOff>
      <xdr:row>19</xdr:row>
      <xdr:rowOff>169334</xdr:rowOff>
    </xdr:to>
    <xdr:pic>
      <xdr:nvPicPr>
        <xdr:cNvPr id="14" name="Picture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3"/>
        <a:stretch>
          <a:fillRect/>
        </a:stretch>
      </xdr:blipFill>
      <xdr:spPr>
        <a:xfrm>
          <a:off x="11505257" y="1608668"/>
          <a:ext cx="1222965" cy="2342444"/>
        </a:xfrm>
        <a:prstGeom prst="rect">
          <a:avLst/>
        </a:prstGeom>
        <a:ln>
          <a:solidFill>
            <a:schemeClr val="tx1"/>
          </a:solidFill>
        </a:ln>
      </xdr:spPr>
    </xdr:pic>
    <xdr:clientData/>
  </xdr:twoCellAnchor>
  <xdr:twoCellAnchor editAs="oneCell">
    <xdr:from>
      <xdr:col>11</xdr:col>
      <xdr:colOff>338666</xdr:colOff>
      <xdr:row>32</xdr:row>
      <xdr:rowOff>18814</xdr:rowOff>
    </xdr:from>
    <xdr:to>
      <xdr:col>19</xdr:col>
      <xdr:colOff>148636</xdr:colOff>
      <xdr:row>48</xdr:row>
      <xdr:rowOff>25235</xdr:rowOff>
    </xdr:to>
    <xdr:pic>
      <xdr:nvPicPr>
        <xdr:cNvPr id="15" name="Picture 14">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4"/>
        <a:stretch>
          <a:fillRect/>
        </a:stretch>
      </xdr:blipFill>
      <xdr:spPr>
        <a:xfrm>
          <a:off x="7064962" y="6340592"/>
          <a:ext cx="5943600" cy="3110865"/>
        </a:xfrm>
        <a:prstGeom prst="rect">
          <a:avLst/>
        </a:prstGeom>
      </xdr:spPr>
    </xdr:pic>
    <xdr:clientData/>
  </xdr:twoCellAnchor>
  <xdr:twoCellAnchor editAs="oneCell">
    <xdr:from>
      <xdr:col>13</xdr:col>
      <xdr:colOff>263407</xdr:colOff>
      <xdr:row>51</xdr:row>
      <xdr:rowOff>197554</xdr:rowOff>
    </xdr:from>
    <xdr:to>
      <xdr:col>17</xdr:col>
      <xdr:colOff>295533</xdr:colOff>
      <xdr:row>62</xdr:row>
      <xdr:rowOff>27868</xdr:rowOff>
    </xdr:to>
    <xdr:pic>
      <xdr:nvPicPr>
        <xdr:cNvPr id="16" name="Picture 15">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5"/>
        <a:stretch>
          <a:fillRect/>
        </a:stretch>
      </xdr:blipFill>
      <xdr:spPr>
        <a:xfrm>
          <a:off x="8212666" y="10216443"/>
          <a:ext cx="3719830" cy="2003425"/>
        </a:xfrm>
        <a:prstGeom prst="rect">
          <a:avLst/>
        </a:prstGeom>
      </xdr:spPr>
    </xdr:pic>
    <xdr:clientData/>
  </xdr:twoCellAnchor>
  <xdr:twoCellAnchor>
    <xdr:from>
      <xdr:col>11</xdr:col>
      <xdr:colOff>0</xdr:colOff>
      <xdr:row>0</xdr:row>
      <xdr:rowOff>28224</xdr:rowOff>
    </xdr:from>
    <xdr:to>
      <xdr:col>20</xdr:col>
      <xdr:colOff>0</xdr:colOff>
      <xdr:row>4</xdr:row>
      <xdr:rowOff>9408</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6726296" y="28224"/>
          <a:ext cx="6745111" cy="771406"/>
        </a:xfrm>
        <a:prstGeom prst="rect">
          <a:avLst/>
        </a:prstGeom>
        <a:solidFill>
          <a:srgbClr val="DCFA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r>
            <a:rPr lang="en-US" sz="1400" b="1">
              <a:solidFill>
                <a:schemeClr val="dk1"/>
              </a:solidFill>
              <a:effectLst/>
              <a:latin typeface="+mn-lt"/>
              <a:ea typeface="+mn-ea"/>
              <a:cs typeface="+mn-cs"/>
            </a:rPr>
            <a:t>Using NDAWN for PET and Rainfall Data</a:t>
          </a:r>
        </a:p>
        <a:p>
          <a:pPr lvl="0" algn="ctr"/>
          <a:endParaRPr lang="en-US" sz="1400" b="1">
            <a:solidFill>
              <a:schemeClr val="dk1"/>
            </a:solidFill>
            <a:effectLst/>
            <a:latin typeface="+mn-lt"/>
            <a:ea typeface="+mn-ea"/>
            <a:cs typeface="+mn-cs"/>
          </a:endParaRPr>
        </a:p>
        <a:p>
          <a:pPr lvl="0"/>
          <a:r>
            <a:rPr lang="en-US" sz="1100">
              <a:solidFill>
                <a:schemeClr val="dk1"/>
              </a:solidFill>
              <a:effectLst/>
              <a:latin typeface="+mn-lt"/>
              <a:ea typeface="+mn-ea"/>
              <a:cs typeface="+mn-cs"/>
            </a:rPr>
            <a:t>Visit the North Dakota Agricultural Weather Network (NDAWN) Website:  </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1755913</xdr:colOff>
      <xdr:row>0</xdr:row>
      <xdr:rowOff>0</xdr:rowOff>
    </xdr:from>
    <xdr:to>
      <xdr:col>6</xdr:col>
      <xdr:colOff>3072849</xdr:colOff>
      <xdr:row>6</xdr:row>
      <xdr:rowOff>33130</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7926456" y="0"/>
          <a:ext cx="1316936" cy="1213402"/>
          <a:chOff x="10052360" y="292720"/>
          <a:chExt cx="1393903" cy="1412488"/>
        </a:xfrm>
      </xdr:grpSpPr>
      <xdr:pic macro="[0]!Clear_General_Info">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Clear_General_Info" textlink="">
        <xdr:nvSpPr>
          <xdr:cNvPr id="12" name="TextBox 11">
            <a:extLst>
              <a:ext uri="{FF2B5EF4-FFF2-40B4-BE49-F238E27FC236}">
                <a16:creationId xmlns:a16="http://schemas.microsoft.com/office/drawing/2014/main" id="{00000000-0008-0000-0100-00000C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8</xdr:col>
      <xdr:colOff>61311</xdr:colOff>
      <xdr:row>0</xdr:row>
      <xdr:rowOff>0</xdr:rowOff>
    </xdr:from>
    <xdr:to>
      <xdr:col>8</xdr:col>
      <xdr:colOff>1455214</xdr:colOff>
      <xdr:row>6</xdr:row>
      <xdr:rowOff>124971</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7871811" y="0"/>
          <a:ext cx="1393903" cy="1413647"/>
          <a:chOff x="10052360" y="292720"/>
          <a:chExt cx="1393903" cy="1412488"/>
        </a:xfrm>
      </xdr:grpSpPr>
      <xdr:pic macro="[0]!Clear_Net_Irr_Cal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Clear_Net_Irr_Calc" textlink="">
        <xdr:nvSpPr>
          <xdr:cNvPr id="6" name="TextBox 5">
            <a:extLst>
              <a:ext uri="{FF2B5EF4-FFF2-40B4-BE49-F238E27FC236}">
                <a16:creationId xmlns:a16="http://schemas.microsoft.com/office/drawing/2014/main" id="{00000000-0008-0000-0200-000006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19944</xdr:colOff>
      <xdr:row>0</xdr:row>
      <xdr:rowOff>109620</xdr:rowOff>
    </xdr:from>
    <xdr:to>
      <xdr:col>27</xdr:col>
      <xdr:colOff>427519</xdr:colOff>
      <xdr:row>30</xdr:row>
      <xdr:rowOff>100989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96667" y="109620"/>
          <a:ext cx="6319960" cy="7528742"/>
        </a:xfrm>
        <a:prstGeom prst="rect">
          <a:avLst/>
        </a:prstGeom>
        <a:noFill/>
      </xdr:spPr>
    </xdr:pic>
    <xdr:clientData/>
  </xdr:twoCellAnchor>
  <xdr:twoCellAnchor editAs="absolute">
    <xdr:from>
      <xdr:col>7</xdr:col>
      <xdr:colOff>615109</xdr:colOff>
      <xdr:row>0</xdr:row>
      <xdr:rowOff>0</xdr:rowOff>
    </xdr:from>
    <xdr:to>
      <xdr:col>10</xdr:col>
      <xdr:colOff>44337</xdr:colOff>
      <xdr:row>5</xdr:row>
      <xdr:rowOff>26199</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6316305" y="0"/>
          <a:ext cx="1348032" cy="1392829"/>
          <a:chOff x="10052360" y="292720"/>
          <a:chExt cx="1393903" cy="1412488"/>
        </a:xfrm>
      </xdr:grpSpPr>
      <xdr:pic macro="[0]!clear_tensiometers">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clear_tensiometers" textlink="">
        <xdr:nvSpPr>
          <xdr:cNvPr id="6" name="TextBox 5">
            <a:extLst>
              <a:ext uri="{FF2B5EF4-FFF2-40B4-BE49-F238E27FC236}">
                <a16:creationId xmlns:a16="http://schemas.microsoft.com/office/drawing/2014/main" id="{00000000-0008-0000-0300-000006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twoCellAnchor>
  <xdr:twoCellAnchor editAs="oneCell">
    <xdr:from>
      <xdr:col>19</xdr:col>
      <xdr:colOff>604080</xdr:colOff>
      <xdr:row>33</xdr:row>
      <xdr:rowOff>656203</xdr:rowOff>
    </xdr:from>
    <xdr:to>
      <xdr:col>27</xdr:col>
      <xdr:colOff>297690</xdr:colOff>
      <xdr:row>68</xdr:row>
      <xdr:rowOff>82922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15899297" y="8706899"/>
          <a:ext cx="5612915" cy="62405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190500</xdr:colOff>
      <xdr:row>3</xdr:row>
      <xdr:rowOff>56272</xdr:rowOff>
    </xdr:from>
    <xdr:to>
      <xdr:col>6</xdr:col>
      <xdr:colOff>923176</xdr:colOff>
      <xdr:row>30</xdr:row>
      <xdr:rowOff>10470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417820" y="589672"/>
          <a:ext cx="3894976" cy="4991018"/>
        </a:xfrm>
        <a:prstGeom prst="rect">
          <a:avLst/>
        </a:prstGeom>
        <a:ln>
          <a:solidFill>
            <a:schemeClr val="accent6"/>
          </a:solidFill>
        </a:ln>
      </xdr:spPr>
    </xdr:pic>
    <xdr:clientData/>
  </xdr:twoCellAnchor>
  <xdr:twoCellAnchor>
    <xdr:from>
      <xdr:col>0</xdr:col>
      <xdr:colOff>15240</xdr:colOff>
      <xdr:row>0</xdr:row>
      <xdr:rowOff>68580</xdr:rowOff>
    </xdr:from>
    <xdr:to>
      <xdr:col>1</xdr:col>
      <xdr:colOff>3680460</xdr:colOff>
      <xdr:row>40</xdr:row>
      <xdr:rowOff>106680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5240" y="68580"/>
          <a:ext cx="4274820" cy="728472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u="none" strike="noStrike">
              <a:solidFill>
                <a:schemeClr val="dk1"/>
              </a:solidFill>
              <a:effectLst/>
              <a:latin typeface="+mn-lt"/>
              <a:ea typeface="+mn-ea"/>
              <a:cs typeface="+mn-cs"/>
            </a:rPr>
            <a:t>Using the Feel and Appearance Method to </a:t>
          </a:r>
        </a:p>
        <a:p>
          <a:pPr algn="ctr"/>
          <a:r>
            <a:rPr lang="en-US" sz="1400" b="1" i="0" u="none" strike="noStrike">
              <a:solidFill>
                <a:schemeClr val="dk1"/>
              </a:solidFill>
              <a:effectLst/>
              <a:latin typeface="+mn-lt"/>
              <a:ea typeface="+mn-ea"/>
              <a:cs typeface="+mn-cs"/>
            </a:rPr>
            <a:t>Estimate Available Soil Moisture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the Available Water Conent</a:t>
          </a:r>
          <a:r>
            <a:rPr lang="en-US" sz="1100" b="0" i="0" u="none" strike="noStrike" baseline="0">
              <a:solidFill>
                <a:schemeClr val="dk1"/>
              </a:solidFill>
              <a:effectLst/>
              <a:latin typeface="+mn-lt"/>
              <a:ea typeface="+mn-ea"/>
              <a:cs typeface="+mn-cs"/>
            </a:rPr>
            <a:t> is not already documented (in the irrigation design, IWM plan, etc)</a:t>
          </a:r>
          <a:r>
            <a:rPr lang="en-US" sz="1100" b="0" i="0" u="none" strike="noStrike">
              <a:solidFill>
                <a:schemeClr val="dk1"/>
              </a:solidFill>
              <a:effectLst/>
              <a:latin typeface="+mn-lt"/>
              <a:ea typeface="+mn-ea"/>
              <a:cs typeface="+mn-cs"/>
            </a:rPr>
            <a:t> complete the following steps to determine the AWC of the soil</a:t>
          </a:r>
          <a:r>
            <a:rPr lang="en-US" sz="1100" b="0" i="0" u="none" strike="noStrike" baseline="0">
              <a:solidFill>
                <a:schemeClr val="dk1"/>
              </a:solidFill>
              <a:effectLst/>
              <a:latin typeface="+mn-lt"/>
              <a:ea typeface="+mn-ea"/>
              <a:cs typeface="+mn-cs"/>
            </a:rPr>
            <a:t> for the root managment depth.</a:t>
          </a:r>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Use Web Soil Survey to determine the mapped soil units for the field</a:t>
          </a:r>
          <a:r>
            <a:rPr lang="en-US"/>
            <a:t> </a:t>
          </a:r>
        </a:p>
        <a:p>
          <a:pPr marL="171450" indent="-171450">
            <a:buFont typeface="Arial" panose="020B0604020202020204" pitchFamily="34" charset="0"/>
            <a:buChar char="•"/>
          </a:pPr>
          <a:endParaRPr lang="en-US"/>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Field verify the soils in the field match Web Soil Survey</a:t>
          </a:r>
          <a:r>
            <a:rPr lang="en-US"/>
            <a:t> </a:t>
          </a:r>
          <a:r>
            <a:rPr lang="en-US" sz="1100" b="0" i="0" u="none" strike="noStrike">
              <a:solidFill>
                <a:schemeClr val="dk1"/>
              </a:solidFill>
              <a:effectLst/>
              <a:latin typeface="+mn-lt"/>
              <a:ea typeface="+mn-ea"/>
              <a:cs typeface="+mn-cs"/>
            </a:rPr>
            <a:t>Record the soil depths for each change in soil texture, and record the depths for restrictions or indications of prolonged saturation (redox features).  </a:t>
          </a:r>
          <a:r>
            <a:rPr lang="en-US" sz="1100" b="0" i="1" u="sng" strike="noStrike">
              <a:solidFill>
                <a:schemeClr val="dk1"/>
              </a:solidFill>
              <a:effectLst/>
              <a:latin typeface="+mn-lt"/>
              <a:ea typeface="+mn-ea"/>
              <a:cs typeface="+mn-cs"/>
            </a:rPr>
            <a:t>Be sure to go past the predicted rooting depth!</a:t>
          </a:r>
          <a:r>
            <a:rPr lang="en-US" i="1" u="sng"/>
            <a:t> </a:t>
          </a:r>
        </a:p>
        <a:p>
          <a:pPr marL="171450" indent="-171450">
            <a:buFont typeface="Arial" panose="020B0604020202020204" pitchFamily="34" charset="0"/>
            <a:buChar char="•"/>
          </a:pPr>
          <a:endParaRPr lang="en-US"/>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Use Web Soil Survey to estimate the Available Water Content (AWC) for each soil layer</a:t>
          </a:r>
          <a:r>
            <a:rPr lang="en-US"/>
            <a:t> </a:t>
          </a:r>
        </a:p>
        <a:p>
          <a:pPr marL="171450" indent="-171450">
            <a:buFont typeface="Arial" panose="020B0604020202020204" pitchFamily="34" charset="0"/>
            <a:buChar char="•"/>
          </a:pPr>
          <a:endParaRPr lang="en-US" sz="1100"/>
        </a:p>
        <a:p>
          <a:pPr marL="0" indent="0">
            <a:buFontTx/>
            <a:buNone/>
          </a:pPr>
          <a:r>
            <a:rPr lang="en-US" sz="1100"/>
            <a:t>example:</a:t>
          </a:r>
        </a:p>
        <a:p>
          <a:pPr marL="0" indent="0">
            <a:buFontTx/>
            <a:buNone/>
          </a:pPr>
          <a:endParaRPr lang="en-US" sz="1100"/>
        </a:p>
        <a:p>
          <a:pPr marL="0" indent="0">
            <a:buFontTx/>
            <a:buNone/>
          </a:pPr>
          <a:endParaRPr lang="en-US" sz="1100"/>
        </a:p>
        <a:p>
          <a:pPr marL="0" indent="0">
            <a:buFontTx/>
            <a:buNone/>
          </a:pPr>
          <a:endParaRPr lang="en-US" sz="1100"/>
        </a:p>
        <a:p>
          <a:pPr marL="0" indent="0">
            <a:buFontTx/>
            <a:buNone/>
          </a:pPr>
          <a:endParaRPr lang="en-US" sz="1100"/>
        </a:p>
        <a:p>
          <a:pPr marL="0" indent="0">
            <a:buFontTx/>
            <a:buNone/>
          </a:pPr>
          <a:endParaRPr lang="en-US" sz="1100"/>
        </a:p>
        <a:p>
          <a:pPr marL="0" indent="0">
            <a:buFontTx/>
            <a:buNone/>
          </a:pPr>
          <a:endParaRPr lang="en-US" sz="1100"/>
        </a:p>
        <a:p>
          <a:pPr marL="0" indent="0">
            <a:buFontTx/>
            <a:buNone/>
          </a:pPr>
          <a:r>
            <a:rPr lang="en-US" sz="1100"/>
            <a:t>Use the NRCS publication "Estimating Soil Moisture</a:t>
          </a:r>
          <a:r>
            <a:rPr lang="en-US" sz="1100" baseline="0"/>
            <a:t> by Feel and Appearance" to estimate the water depletion in the soil.</a:t>
          </a:r>
        </a:p>
        <a:p>
          <a:pPr marL="0" indent="0">
            <a:buFontTx/>
            <a:buNone/>
          </a:pPr>
          <a:endParaRPr lang="en-US" sz="1100" baseline="0"/>
        </a:p>
        <a:p>
          <a:pPr marL="0" indent="0">
            <a:buFontTx/>
            <a:buNone/>
          </a:pPr>
          <a:endParaRPr lang="en-US" sz="1100"/>
        </a:p>
        <a:p>
          <a:pPr marL="0" indent="0">
            <a:buFontTx/>
            <a:buNone/>
          </a:pPr>
          <a:r>
            <a:rPr lang="en-US" sz="1100"/>
            <a:t>  </a:t>
          </a:r>
        </a:p>
        <a:p>
          <a:pPr marL="0" indent="0">
            <a:buFontTx/>
            <a:buNone/>
          </a:pPr>
          <a:endParaRPr lang="en-US" sz="1100"/>
        </a:p>
        <a:p>
          <a:pPr marL="0" indent="0">
            <a:buFontTx/>
            <a:buNone/>
          </a:pPr>
          <a:endParaRPr lang="en-US" sz="1100"/>
        </a:p>
        <a:p>
          <a:pPr marL="0" indent="0">
            <a:buFontTx/>
            <a:buNone/>
          </a:pPr>
          <a:endParaRPr lang="en-US" sz="1100"/>
        </a:p>
        <a:p>
          <a:pPr marL="0" indent="0">
            <a:buFontTx/>
            <a:buNone/>
          </a:pPr>
          <a:endParaRPr lang="en-US" sz="1100"/>
        </a:p>
        <a:p>
          <a:pPr marL="0" indent="0">
            <a:buFontTx/>
            <a:buNone/>
          </a:pPr>
          <a:endParaRPr lang="en-US" sz="1100"/>
        </a:p>
        <a:p>
          <a:pPr marL="0" indent="0">
            <a:buFontTx/>
            <a:buNone/>
          </a:pPr>
          <a:r>
            <a:rPr lang="en-US" sz="1100"/>
            <a:t>The</a:t>
          </a:r>
          <a:r>
            <a:rPr lang="en-US" sz="1100" baseline="0"/>
            <a:t> example show the total AWC is 7.35" (1.8 + 3.15 + 2.4) and the Estimated Depletion is 0.74" (0.3 + 0.32 + 0.12).   </a:t>
          </a:r>
        </a:p>
        <a:p>
          <a:pPr marL="0" indent="0">
            <a:buFontTx/>
            <a:buNone/>
          </a:pPr>
          <a:endParaRPr lang="en-US" sz="1100" baseline="0"/>
        </a:p>
        <a:p>
          <a:pPr marL="0" indent="0">
            <a:buFontTx/>
            <a:buNone/>
          </a:pPr>
          <a:r>
            <a:rPr lang="en-US" sz="1100" baseline="0"/>
            <a:t>Thus the starting Available Soil Moisture is 6.61" (7.35 - 0.74 = 6.61).   </a:t>
          </a:r>
        </a:p>
        <a:p>
          <a:pPr marL="0" indent="0">
            <a:buFontTx/>
            <a:buNone/>
          </a:pPr>
          <a:endParaRPr lang="en-US" sz="1100" baseline="0"/>
        </a:p>
        <a:p>
          <a:pPr marL="0" indent="0">
            <a:buFontTx/>
            <a:buNone/>
          </a:pPr>
          <a:r>
            <a:rPr lang="en-US" sz="1100" baseline="0"/>
            <a:t>A net irrigation of 0.74" will refill the root zone.</a:t>
          </a:r>
          <a:endParaRPr lang="en-US" sz="1100"/>
        </a:p>
      </xdr:txBody>
    </xdr:sp>
    <xdr:clientData/>
  </xdr:twoCellAnchor>
  <xdr:twoCellAnchor editAs="oneCell">
    <xdr:from>
      <xdr:col>1</xdr:col>
      <xdr:colOff>15241</xdr:colOff>
      <xdr:row>16</xdr:row>
      <xdr:rowOff>121920</xdr:rowOff>
    </xdr:from>
    <xdr:to>
      <xdr:col>1</xdr:col>
      <xdr:colOff>2270761</xdr:colOff>
      <xdr:row>20</xdr:row>
      <xdr:rowOff>163235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24841" y="3345180"/>
          <a:ext cx="2255520" cy="711875"/>
        </a:xfrm>
        <a:prstGeom prst="rect">
          <a:avLst/>
        </a:prstGeom>
      </xdr:spPr>
    </xdr:pic>
    <xdr:clientData/>
  </xdr:twoCellAnchor>
  <xdr:twoCellAnchor editAs="oneCell">
    <xdr:from>
      <xdr:col>0</xdr:col>
      <xdr:colOff>266700</xdr:colOff>
      <xdr:row>25</xdr:row>
      <xdr:rowOff>22861</xdr:rowOff>
    </xdr:from>
    <xdr:to>
      <xdr:col>1</xdr:col>
      <xdr:colOff>3002280</xdr:colOff>
      <xdr:row>31</xdr:row>
      <xdr:rowOff>47971</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266700" y="4754881"/>
          <a:ext cx="3345180" cy="1030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9570720" y="1272540"/>
    <xdr:ext cx="1316936" cy="1225826"/>
    <xdr:grpSp>
      <xdr:nvGrpSpPr>
        <xdr:cNvPr id="2" name="Group 1">
          <a:extLst>
            <a:ext uri="{FF2B5EF4-FFF2-40B4-BE49-F238E27FC236}">
              <a16:creationId xmlns:a16="http://schemas.microsoft.com/office/drawing/2014/main" id="{00000000-0008-0000-0500-000002000000}"/>
            </a:ext>
          </a:extLst>
        </xdr:cNvPr>
        <xdr:cNvGrpSpPr/>
      </xdr:nvGrpSpPr>
      <xdr:grpSpPr>
        <a:xfrm>
          <a:off x="9570720" y="1272540"/>
          <a:ext cx="1316936" cy="1225826"/>
          <a:chOff x="10052360" y="292720"/>
          <a:chExt cx="1393903" cy="1412488"/>
        </a:xfrm>
      </xdr:grpSpPr>
      <xdr:pic macro="[0]!ResetNDAWN">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ResetNDAWN" textlink="">
        <xdr:nvSpPr>
          <xdr:cNvPr id="4" name="TextBox 3">
            <a:extLst>
              <a:ext uri="{FF2B5EF4-FFF2-40B4-BE49-F238E27FC236}">
                <a16:creationId xmlns:a16="http://schemas.microsoft.com/office/drawing/2014/main" id="{00000000-0008-0000-0500-000004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absoluteAnchor>
</xdr:wsDr>
</file>

<file path=xl/drawings/drawing7.xml><?xml version="1.0" encoding="utf-8"?>
<xdr:wsDr xmlns:xdr="http://schemas.openxmlformats.org/drawingml/2006/spreadsheetDrawing" xmlns:a="http://schemas.openxmlformats.org/drawingml/2006/main">
  <xdr:twoCellAnchor>
    <xdr:from>
      <xdr:col>14</xdr:col>
      <xdr:colOff>158253</xdr:colOff>
      <xdr:row>106</xdr:row>
      <xdr:rowOff>106309</xdr:rowOff>
    </xdr:from>
    <xdr:to>
      <xdr:col>29</xdr:col>
      <xdr:colOff>930885</xdr:colOff>
      <xdr:row>143</xdr:row>
      <xdr:rowOff>58802</xdr:rowOff>
    </xdr:to>
    <xdr:graphicFrame macro="">
      <xdr:nvGraphicFramePr>
        <xdr:cNvPr id="1066" name="Soil Moisture Analysis">
          <a:extLst>
            <a:ext uri="{FF2B5EF4-FFF2-40B4-BE49-F238E27FC236}">
              <a16:creationId xmlns:a16="http://schemas.microsoft.com/office/drawing/2014/main" id="{00000000-0008-0000-06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12</xdr:col>
      <xdr:colOff>212501</xdr:colOff>
      <xdr:row>1</xdr:row>
      <xdr:rowOff>4647</xdr:rowOff>
    </xdr:from>
    <xdr:to>
      <xdr:col>14</xdr:col>
      <xdr:colOff>305430</xdr:colOff>
      <xdr:row>8</xdr:row>
      <xdr:rowOff>144037</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9784538" y="298628"/>
          <a:ext cx="1351170" cy="1362353"/>
          <a:chOff x="10052360" y="292720"/>
          <a:chExt cx="1393903" cy="1412488"/>
        </a:xfrm>
      </xdr:grpSpPr>
      <xdr:pic macro="[0]!Reset_Applied_Irrigation">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Reset_Applied_Irrigation" textlink="">
        <xdr:nvSpPr>
          <xdr:cNvPr id="3" name="TextBox 2">
            <a:extLst>
              <a:ext uri="{FF2B5EF4-FFF2-40B4-BE49-F238E27FC236}">
                <a16:creationId xmlns:a16="http://schemas.microsoft.com/office/drawing/2014/main" id="{00000000-0008-0000-0600-000003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twoCellAnchor>
  <xdr:twoCellAnchor editAs="absolute">
    <xdr:from>
      <xdr:col>29</xdr:col>
      <xdr:colOff>271167</xdr:colOff>
      <xdr:row>1</xdr:row>
      <xdr:rowOff>167269</xdr:rowOff>
    </xdr:from>
    <xdr:to>
      <xdr:col>30</xdr:col>
      <xdr:colOff>660114</xdr:colOff>
      <xdr:row>9</xdr:row>
      <xdr:rowOff>130098</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22002278" y="461250"/>
          <a:ext cx="1364966" cy="1350422"/>
          <a:chOff x="10052360" y="292720"/>
          <a:chExt cx="1393903" cy="1412488"/>
        </a:xfrm>
      </xdr:grpSpPr>
      <xdr:pic macro="[0]!Reset_Recommended_Irrigation">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10052360" y="292720"/>
            <a:ext cx="1393903" cy="1412488"/>
          </a:xfrm>
          <a:prstGeom prst="ellipse">
            <a:avLst/>
          </a:prstGeom>
          <a:ln>
            <a:noFill/>
          </a:ln>
          <a:effectLst>
            <a:softEdge rad="112500"/>
          </a:effectLst>
        </xdr:spPr>
      </xdr:pic>
      <xdr:sp macro="[0]!Reset_Recommended_Irrigation" textlink="">
        <xdr:nvSpPr>
          <xdr:cNvPr id="12" name="TextBox 11">
            <a:extLst>
              <a:ext uri="{FF2B5EF4-FFF2-40B4-BE49-F238E27FC236}">
                <a16:creationId xmlns:a16="http://schemas.microsoft.com/office/drawing/2014/main" id="{00000000-0008-0000-0600-00000C000000}"/>
              </a:ext>
            </a:extLst>
          </xdr:cNvPr>
          <xdr:cNvSpPr txBox="1"/>
        </xdr:nvSpPr>
        <xdr:spPr>
          <a:xfrm>
            <a:off x="10416697" y="821378"/>
            <a:ext cx="698974" cy="342786"/>
          </a:xfrm>
          <a:prstGeom prst="rect">
            <a:avLst/>
          </a:prstGeom>
          <a:noFill/>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bg1">
                    <a:lumMod val="95000"/>
                  </a:schemeClr>
                </a:solidFill>
              </a:rPr>
              <a:t>RESET</a:t>
            </a:r>
          </a:p>
        </xdr:txBody>
      </xdr:sp>
    </xdr:grpSp>
    <xdr:clientData fPrintsWithSheet="0"/>
  </xdr:twoCellAnchor>
  <xdr:twoCellAnchor>
    <xdr:from>
      <xdr:col>30</xdr:col>
      <xdr:colOff>56438</xdr:colOff>
      <xdr:row>116</xdr:row>
      <xdr:rowOff>129352</xdr:rowOff>
    </xdr:from>
    <xdr:to>
      <xdr:col>31</xdr:col>
      <xdr:colOff>71208</xdr:colOff>
      <xdr:row>126</xdr:row>
      <xdr:rowOff>164159</xdr:rowOff>
    </xdr:to>
    <xdr:grpSp>
      <xdr:nvGrpSpPr>
        <xdr:cNvPr id="8" name="Group 7">
          <a:extLst>
            <a:ext uri="{FF2B5EF4-FFF2-40B4-BE49-F238E27FC236}">
              <a16:creationId xmlns:a16="http://schemas.microsoft.com/office/drawing/2014/main" id="{E5516B0F-9B2C-4F0D-B092-AE3E40242CB2}"/>
            </a:ext>
          </a:extLst>
        </xdr:cNvPr>
        <xdr:cNvGrpSpPr/>
      </xdr:nvGrpSpPr>
      <xdr:grpSpPr>
        <a:xfrm>
          <a:off x="22763568" y="20484630"/>
          <a:ext cx="1849214" cy="1681103"/>
          <a:chOff x="25338851" y="21319537"/>
          <a:chExt cx="1849214" cy="1681104"/>
        </a:xfrm>
      </xdr:grpSpPr>
      <xdr:pic macro="[0]!Sheet1.Optimize_Chart">
        <xdr:nvPicPr>
          <xdr:cNvPr id="6" name="Picture 5">
            <a:extLst>
              <a:ext uri="{FF2B5EF4-FFF2-40B4-BE49-F238E27FC236}">
                <a16:creationId xmlns:a16="http://schemas.microsoft.com/office/drawing/2014/main" id="{8C2F9EC1-CA48-4453-9965-15761FB559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338851" y="21319537"/>
            <a:ext cx="1849214" cy="1681104"/>
          </a:xfrm>
          <a:prstGeom prst="rect">
            <a:avLst/>
          </a:prstGeom>
        </xdr:spPr>
      </xdr:pic>
      <xdr:sp macro="[0]!Sheet1.Optimize_Chart" textlink="">
        <xdr:nvSpPr>
          <xdr:cNvPr id="7" name="TextBox 6">
            <a:extLst>
              <a:ext uri="{FF2B5EF4-FFF2-40B4-BE49-F238E27FC236}">
                <a16:creationId xmlns:a16="http://schemas.microsoft.com/office/drawing/2014/main" id="{B3136210-9AED-459B-97CD-6299989C047F}"/>
              </a:ext>
            </a:extLst>
          </xdr:cNvPr>
          <xdr:cNvSpPr txBox="1"/>
        </xdr:nvSpPr>
        <xdr:spPr>
          <a:xfrm>
            <a:off x="25700611" y="21832115"/>
            <a:ext cx="1125694"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1800" b="1"/>
              <a:t>OPTIMIZE</a:t>
            </a:r>
          </a:p>
          <a:p>
            <a:pPr algn="ctr"/>
            <a:r>
              <a:rPr lang="en-US" sz="1800" b="1"/>
              <a:t>CHART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61122</xdr:colOff>
      <xdr:row>21</xdr:row>
      <xdr:rowOff>48993</xdr:rowOff>
    </xdr:from>
    <xdr:to>
      <xdr:col>22</xdr:col>
      <xdr:colOff>479752</xdr:colOff>
      <xdr:row>43</xdr:row>
      <xdr:rowOff>112512</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366887</xdr:colOff>
      <xdr:row>42</xdr:row>
      <xdr:rowOff>155861</xdr:rowOff>
    </xdr:from>
    <xdr:to>
      <xdr:col>12</xdr:col>
      <xdr:colOff>4121173</xdr:colOff>
      <xdr:row>62</xdr:row>
      <xdr:rowOff>63755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068739" y="8575491"/>
          <a:ext cx="6473027" cy="38590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ndawn.ndsu.nodak.ed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irrigationtoolbox.com/WebPages/Chapter%206.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pageSetUpPr fitToPage="1"/>
  </sheetPr>
  <dimension ref="L1:AP37"/>
  <sheetViews>
    <sheetView showGridLines="0" showRowColHeaders="0" tabSelected="1" zoomScale="81" zoomScaleNormal="81" workbookViewId="0">
      <selection activeCell="Q5" sqref="Q5"/>
    </sheetView>
  </sheetViews>
  <sheetFormatPr defaultColWidth="8.85546875" defaultRowHeight="15.75" x14ac:dyDescent="0.25"/>
  <cols>
    <col min="1" max="16" width="8.85546875" style="29"/>
    <col min="17" max="17" width="27" style="29" bestFit="1" customWidth="1"/>
    <col min="18" max="16384" width="8.85546875" style="29"/>
  </cols>
  <sheetData>
    <row r="1" spans="12:42" x14ac:dyDescent="0.25">
      <c r="M1" s="528"/>
      <c r="N1" s="528"/>
      <c r="O1" s="528"/>
      <c r="P1" s="528"/>
      <c r="Q1" s="528"/>
      <c r="R1" s="528"/>
      <c r="S1" s="528"/>
      <c r="T1" s="528"/>
      <c r="U1" s="63"/>
      <c r="V1" s="63"/>
      <c r="W1" s="63"/>
      <c r="X1" s="63"/>
      <c r="Y1" s="63"/>
      <c r="Z1" s="63"/>
      <c r="AA1" s="63"/>
      <c r="AB1" s="63"/>
      <c r="AC1" s="63"/>
      <c r="AD1" s="63"/>
      <c r="AE1" s="63"/>
      <c r="AF1" s="63"/>
      <c r="AG1" s="63"/>
      <c r="AH1" s="63"/>
      <c r="AI1" s="63"/>
      <c r="AJ1" s="63"/>
      <c r="AK1" s="63"/>
      <c r="AL1" s="63"/>
      <c r="AM1" s="63"/>
      <c r="AN1" s="63"/>
      <c r="AO1" s="63"/>
      <c r="AP1" s="63"/>
    </row>
    <row r="2" spans="12:42" x14ac:dyDescent="0.25">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row>
    <row r="3" spans="12:42" x14ac:dyDescent="0.25">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row>
    <row r="4" spans="12:42" ht="15.6" customHeight="1" x14ac:dyDescent="0.25">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row>
    <row r="5" spans="12:42" ht="16.149999999999999" customHeight="1" x14ac:dyDescent="0.25">
      <c r="L5" s="284"/>
      <c r="M5" s="285"/>
      <c r="N5" s="284"/>
      <c r="O5" s="284"/>
      <c r="P5" s="284"/>
      <c r="Q5" s="287" t="s">
        <v>305</v>
      </c>
      <c r="R5" s="286"/>
      <c r="S5" s="286"/>
      <c r="T5" s="284"/>
      <c r="AF5" s="63"/>
      <c r="AG5" s="63"/>
      <c r="AH5" s="63"/>
      <c r="AI5" s="63"/>
      <c r="AJ5" s="63"/>
      <c r="AK5" s="63"/>
      <c r="AL5" s="63"/>
      <c r="AM5" s="63"/>
      <c r="AN5" s="63"/>
      <c r="AO5" s="63"/>
      <c r="AP5" s="63"/>
    </row>
    <row r="6" spans="12:42" x14ac:dyDescent="0.25">
      <c r="M6" s="122"/>
    </row>
    <row r="7" spans="12:42" x14ac:dyDescent="0.25">
      <c r="M7" s="123"/>
    </row>
    <row r="8" spans="12:42" x14ac:dyDescent="0.25">
      <c r="M8" s="123"/>
    </row>
    <row r="9" spans="12:42" x14ac:dyDescent="0.25">
      <c r="M9"/>
    </row>
    <row r="10" spans="12:42" x14ac:dyDescent="0.25">
      <c r="M10" s="122"/>
    </row>
    <row r="11" spans="12:42" x14ac:dyDescent="0.25">
      <c r="M11" s="124"/>
    </row>
    <row r="12" spans="12:42" ht="16.149999999999999" customHeight="1" x14ac:dyDescent="0.25">
      <c r="M12" s="125"/>
    </row>
    <row r="13" spans="12:42" x14ac:dyDescent="0.25">
      <c r="M13" s="124"/>
    </row>
    <row r="14" spans="12:42" x14ac:dyDescent="0.25">
      <c r="M14" s="125"/>
    </row>
    <row r="15" spans="12:42" x14ac:dyDescent="0.25">
      <c r="M15" s="126"/>
    </row>
    <row r="16" spans="12:42" ht="15.6" customHeight="1" x14ac:dyDescent="0.25">
      <c r="M16" s="126"/>
    </row>
    <row r="17" spans="13:24" ht="16.149999999999999" customHeight="1" x14ac:dyDescent="0.25">
      <c r="M17" s="124"/>
    </row>
    <row r="18" spans="13:24" x14ac:dyDescent="0.25">
      <c r="M18" s="125"/>
    </row>
    <row r="19" spans="13:24" x14ac:dyDescent="0.25">
      <c r="M19" s="125"/>
    </row>
    <row r="20" spans="13:24" x14ac:dyDescent="0.25">
      <c r="M20" s="125"/>
    </row>
    <row r="25" spans="13:24" ht="13.15" customHeight="1" x14ac:dyDescent="0.25">
      <c r="X25" s="35"/>
    </row>
    <row r="26" spans="13:24" ht="15.6" customHeight="1" x14ac:dyDescent="0.25"/>
    <row r="28" spans="13:24" ht="15.6" customHeight="1" x14ac:dyDescent="0.25"/>
    <row r="33" ht="13.15" customHeight="1" x14ac:dyDescent="0.25"/>
    <row r="34" ht="15.6" customHeight="1" x14ac:dyDescent="0.25"/>
    <row r="36" ht="13.15" customHeight="1" x14ac:dyDescent="0.25"/>
    <row r="37" ht="15.6" customHeight="1" x14ac:dyDescent="0.25"/>
  </sheetData>
  <sheetProtection sheet="1" objects="1" scenarios="1" selectLockedCells="1"/>
  <mergeCells count="1">
    <mergeCell ref="M1:T1"/>
  </mergeCells>
  <hyperlinks>
    <hyperlink ref="Q5" r:id="rId1" xr:uid="{00000000-0004-0000-0000-000000000000}"/>
  </hyperlinks>
  <pageMargins left="0.7" right="0.7" top="0.75" bottom="0.75" header="0.3" footer="0.3"/>
  <pageSetup scale="47" orientation="portrait" r:id="rId2"/>
  <headerFooter>
    <oddFooter>&amp;L&amp;"-,Regular"&amp;8Ver. 1.0
&amp;F
&amp;Z&amp;F&amp;C&amp;"-,Regular"&amp;8North Dakota NRCS IWM Certification Form
Instructions
&amp;R&amp;"-,Regular"&amp;8&amp;D
&amp;T</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8" tint="0.59999389629810485"/>
    <pageSetUpPr fitToPage="1"/>
  </sheetPr>
  <dimension ref="A1:AI306"/>
  <sheetViews>
    <sheetView zoomScale="92" zoomScaleNormal="92" zoomScaleSheetLayoutView="100" workbookViewId="0">
      <selection activeCell="C1" sqref="C1"/>
    </sheetView>
  </sheetViews>
  <sheetFormatPr defaultColWidth="8.85546875" defaultRowHeight="15.75" x14ac:dyDescent="0.25"/>
  <cols>
    <col min="1" max="1" width="46" style="174" bestFit="1" customWidth="1"/>
    <col min="2" max="2" width="1.140625" style="174" customWidth="1"/>
    <col min="3" max="3" width="23.7109375" style="174" bestFit="1" customWidth="1"/>
    <col min="4" max="4" width="1" style="289" customWidth="1"/>
    <col min="5" max="5" width="20" style="174" customWidth="1"/>
    <col min="6" max="6" width="0.7109375" style="174" customWidth="1"/>
    <col min="7" max="7" width="71.42578125" style="174" bestFit="1" customWidth="1"/>
    <col min="8" max="8" width="16.7109375" style="174" customWidth="1"/>
    <col min="9" max="9" width="11.5703125" style="174" customWidth="1"/>
    <col min="10" max="10" width="8.5703125" style="174" bestFit="1" customWidth="1"/>
    <col min="11" max="11" width="8.140625" style="174" customWidth="1"/>
    <col min="12" max="12" width="26.28515625" style="174" hidden="1" customWidth="1"/>
    <col min="13" max="13" width="7.28515625" style="174" hidden="1" customWidth="1"/>
    <col min="14" max="14" width="8" style="174" hidden="1" customWidth="1"/>
    <col min="15" max="15" width="22.42578125" style="280" hidden="1" customWidth="1"/>
    <col min="16" max="16" width="30.28515625" style="174" hidden="1" customWidth="1"/>
    <col min="17" max="17" width="34.42578125" style="174" hidden="1" customWidth="1"/>
    <col min="18" max="18" width="31.28515625" style="174" hidden="1" customWidth="1"/>
    <col min="19" max="21" width="7.7109375" style="174" hidden="1" customWidth="1"/>
    <col min="22" max="22" width="23.85546875" style="174" hidden="1" customWidth="1"/>
    <col min="23" max="23" width="7.7109375" style="174" customWidth="1"/>
    <col min="24" max="24" width="6.7109375" style="174" customWidth="1"/>
    <col min="25" max="25" width="6.85546875" style="174" customWidth="1"/>
    <col min="26" max="26" width="8.28515625" style="174" customWidth="1"/>
    <col min="27" max="27" width="7.5703125" style="174" customWidth="1"/>
    <col min="28" max="28" width="8" style="174" customWidth="1"/>
    <col min="29" max="29" width="8.42578125" style="174" customWidth="1"/>
    <col min="30" max="30" width="7.5703125" style="174" customWidth="1"/>
    <col min="31" max="31" width="6.42578125" style="174" customWidth="1"/>
    <col min="32" max="32" width="6.5703125" style="174" customWidth="1"/>
    <col min="33" max="33" width="6.42578125" style="174" customWidth="1"/>
    <col min="34" max="16384" width="8.85546875" style="174"/>
  </cols>
  <sheetData>
    <row r="1" spans="1:33" x14ac:dyDescent="0.25">
      <c r="A1" s="225" t="s">
        <v>183</v>
      </c>
      <c r="B1" s="169"/>
      <c r="C1" s="81"/>
      <c r="D1" s="315"/>
      <c r="G1" s="226"/>
      <c r="O1" s="538" t="s">
        <v>232</v>
      </c>
      <c r="P1" s="538"/>
      <c r="Q1" s="538"/>
      <c r="R1" s="538"/>
      <c r="S1" s="538"/>
      <c r="T1" s="538"/>
      <c r="U1" s="538"/>
      <c r="V1" s="538"/>
    </row>
    <row r="2" spans="1:33" x14ac:dyDescent="0.25">
      <c r="A2" s="227" t="s">
        <v>171</v>
      </c>
      <c r="B2" s="169"/>
      <c r="C2" s="82"/>
      <c r="D2" s="316"/>
      <c r="G2" s="226"/>
      <c r="J2" s="53"/>
      <c r="K2" s="53"/>
      <c r="L2" s="228" t="s">
        <v>233</v>
      </c>
      <c r="O2" s="229" t="s">
        <v>0</v>
      </c>
      <c r="P2" s="230" t="s">
        <v>185</v>
      </c>
      <c r="Q2" s="230" t="s">
        <v>16</v>
      </c>
      <c r="R2" s="230" t="s">
        <v>169</v>
      </c>
      <c r="S2" s="231" t="s">
        <v>15</v>
      </c>
      <c r="T2" s="231" t="s">
        <v>26</v>
      </c>
      <c r="U2" s="231" t="s">
        <v>136</v>
      </c>
      <c r="V2" s="232">
        <f>L19</f>
        <v>0</v>
      </c>
      <c r="W2" s="56"/>
      <c r="X2" s="56"/>
      <c r="Y2" s="56"/>
      <c r="Z2" s="56"/>
    </row>
    <row r="3" spans="1:33" x14ac:dyDescent="0.25">
      <c r="G3" s="226"/>
      <c r="J3" s="34"/>
      <c r="K3" s="34"/>
      <c r="L3" s="233" t="b">
        <v>0</v>
      </c>
      <c r="O3" s="234">
        <v>1</v>
      </c>
      <c r="P3" s="235" t="s">
        <v>211</v>
      </c>
      <c r="Q3" s="235" t="s">
        <v>211</v>
      </c>
      <c r="R3" s="235" t="s">
        <v>37</v>
      </c>
      <c r="S3" s="235" t="s">
        <v>211</v>
      </c>
      <c r="T3" s="235" t="s">
        <v>211</v>
      </c>
      <c r="U3" s="235" t="s">
        <v>211</v>
      </c>
      <c r="V3" s="235" t="s">
        <v>211</v>
      </c>
    </row>
    <row r="4" spans="1:33" x14ac:dyDescent="0.25">
      <c r="A4" s="236" t="s">
        <v>184</v>
      </c>
      <c r="C4" s="81"/>
      <c r="D4" s="315"/>
      <c r="G4" s="226"/>
      <c r="J4" s="237"/>
      <c r="K4" s="34"/>
      <c r="L4" s="233" t="b">
        <v>0</v>
      </c>
      <c r="M4" s="173"/>
      <c r="N4" s="173"/>
      <c r="O4" s="234">
        <v>2</v>
      </c>
      <c r="P4" s="235" t="s">
        <v>212</v>
      </c>
      <c r="Q4" s="235" t="s">
        <v>223</v>
      </c>
      <c r="R4" s="235" t="s">
        <v>38</v>
      </c>
      <c r="S4" s="235" t="s">
        <v>212</v>
      </c>
      <c r="T4" s="235" t="s">
        <v>212</v>
      </c>
      <c r="U4" s="235" t="s">
        <v>212</v>
      </c>
      <c r="V4" s="235" t="s">
        <v>212</v>
      </c>
      <c r="W4" s="38"/>
      <c r="AA4" s="238"/>
      <c r="AB4" s="239"/>
      <c r="AC4" s="38"/>
      <c r="AD4" s="38"/>
      <c r="AE4" s="38"/>
      <c r="AF4" s="38"/>
      <c r="AG4" s="38"/>
    </row>
    <row r="5" spans="1:33" x14ac:dyDescent="0.25">
      <c r="E5" s="169"/>
      <c r="F5" s="169"/>
      <c r="G5" s="226"/>
      <c r="J5" s="53"/>
      <c r="K5" s="53"/>
      <c r="L5" s="233" t="b">
        <v>0</v>
      </c>
      <c r="M5" s="173"/>
      <c r="N5" s="173"/>
      <c r="O5" s="234">
        <v>3</v>
      </c>
      <c r="P5" s="235" t="s">
        <v>213</v>
      </c>
      <c r="Q5" s="235" t="s">
        <v>213</v>
      </c>
      <c r="R5" s="235" t="s">
        <v>187</v>
      </c>
      <c r="S5" s="235" t="s">
        <v>213</v>
      </c>
      <c r="T5" s="235" t="s">
        <v>213</v>
      </c>
      <c r="U5" s="235" t="s">
        <v>213</v>
      </c>
      <c r="V5" s="235" t="s">
        <v>213</v>
      </c>
      <c r="W5" s="151"/>
      <c r="AA5" s="151"/>
      <c r="AB5" s="151"/>
      <c r="AC5" s="151"/>
      <c r="AD5" s="151"/>
      <c r="AE5" s="38"/>
      <c r="AF5" s="38"/>
      <c r="AG5" s="38"/>
    </row>
    <row r="6" spans="1:33" x14ac:dyDescent="0.25">
      <c r="A6" s="227" t="s">
        <v>157</v>
      </c>
      <c r="C6" s="83"/>
      <c r="D6" s="315"/>
      <c r="E6" s="169"/>
      <c r="F6" s="169"/>
      <c r="G6" s="226"/>
      <c r="J6" s="53"/>
      <c r="K6" s="53"/>
      <c r="L6" s="233" t="b">
        <v>0</v>
      </c>
      <c r="M6" s="173"/>
      <c r="N6" s="173"/>
      <c r="O6" s="234">
        <v>4</v>
      </c>
      <c r="P6" s="235" t="s">
        <v>218</v>
      </c>
      <c r="Q6" s="235" t="s">
        <v>188</v>
      </c>
      <c r="R6" s="235" t="s">
        <v>188</v>
      </c>
      <c r="S6" s="235" t="s">
        <v>188</v>
      </c>
      <c r="T6" s="235" t="s">
        <v>188</v>
      </c>
      <c r="U6" s="235" t="s">
        <v>188</v>
      </c>
      <c r="V6" s="235" t="s">
        <v>188</v>
      </c>
      <c r="W6" s="151"/>
      <c r="AA6" s="151"/>
      <c r="AB6" s="151"/>
      <c r="AC6" s="151"/>
      <c r="AD6" s="151"/>
      <c r="AE6" s="38"/>
      <c r="AF6" s="38"/>
      <c r="AG6" s="38"/>
    </row>
    <row r="7" spans="1:33" x14ac:dyDescent="0.25">
      <c r="A7" s="238" t="s">
        <v>172</v>
      </c>
      <c r="B7" s="169"/>
      <c r="C7" s="83"/>
      <c r="D7" s="315"/>
      <c r="E7" s="195" t="s">
        <v>155</v>
      </c>
      <c r="F7" s="169"/>
      <c r="J7" s="53"/>
      <c r="K7" s="53"/>
      <c r="L7" s="233" t="b">
        <v>0</v>
      </c>
      <c r="M7" s="173"/>
      <c r="N7" s="173"/>
      <c r="O7" s="234">
        <v>5</v>
      </c>
      <c r="P7" s="235" t="s">
        <v>219</v>
      </c>
      <c r="Q7" s="235" t="s">
        <v>189</v>
      </c>
      <c r="R7" s="235" t="s">
        <v>205</v>
      </c>
      <c r="S7" s="235" t="s">
        <v>189</v>
      </c>
      <c r="T7" s="235" t="s">
        <v>189</v>
      </c>
      <c r="U7" s="235" t="s">
        <v>189</v>
      </c>
      <c r="V7" s="235" t="s">
        <v>189</v>
      </c>
      <c r="W7" s="38"/>
      <c r="AA7" s="38"/>
      <c r="AB7" s="38"/>
      <c r="AC7" s="240"/>
      <c r="AD7" s="151"/>
      <c r="AE7" s="151"/>
      <c r="AF7" s="151"/>
      <c r="AG7" s="38"/>
    </row>
    <row r="8" spans="1:33" x14ac:dyDescent="0.25">
      <c r="A8" s="227" t="s">
        <v>176</v>
      </c>
      <c r="C8" s="127"/>
      <c r="D8" s="317"/>
      <c r="E8" s="206" t="s">
        <v>12</v>
      </c>
      <c r="F8" s="241"/>
      <c r="G8" s="226"/>
      <c r="J8" s="53"/>
      <c r="K8" s="53"/>
      <c r="L8" s="233" t="b">
        <v>0</v>
      </c>
      <c r="M8" s="173"/>
      <c r="N8" s="173"/>
      <c r="O8" s="234">
        <v>6</v>
      </c>
      <c r="P8" s="235" t="s">
        <v>220</v>
      </c>
      <c r="Q8" s="235" t="s">
        <v>224</v>
      </c>
      <c r="R8" s="235" t="s">
        <v>206</v>
      </c>
      <c r="S8" s="235" t="s">
        <v>214</v>
      </c>
      <c r="T8" s="235" t="s">
        <v>214</v>
      </c>
      <c r="U8" s="235" t="s">
        <v>214</v>
      </c>
      <c r="V8" s="235" t="s">
        <v>214</v>
      </c>
      <c r="W8" s="38"/>
      <c r="AA8" s="38"/>
      <c r="AB8" s="38"/>
      <c r="AC8" s="240"/>
      <c r="AD8" s="151"/>
      <c r="AE8" s="151"/>
      <c r="AF8" s="151"/>
      <c r="AG8" s="38"/>
    </row>
    <row r="9" spans="1:33" x14ac:dyDescent="0.25">
      <c r="A9" s="238" t="s">
        <v>273</v>
      </c>
      <c r="B9" s="203"/>
      <c r="C9" s="84"/>
      <c r="D9" s="288"/>
      <c r="E9" s="195" t="s">
        <v>154</v>
      </c>
      <c r="F9" s="169"/>
      <c r="H9" s="169"/>
      <c r="I9" s="169"/>
      <c r="J9" s="53"/>
      <c r="K9" s="53"/>
      <c r="L9" s="233" t="b">
        <v>0</v>
      </c>
      <c r="M9" s="173"/>
      <c r="N9" s="173"/>
      <c r="O9" s="234">
        <v>7</v>
      </c>
      <c r="P9" s="235" t="s">
        <v>221</v>
      </c>
      <c r="Q9" s="235" t="s">
        <v>225</v>
      </c>
      <c r="R9" s="235" t="s">
        <v>207</v>
      </c>
      <c r="S9" s="235" t="s">
        <v>215</v>
      </c>
      <c r="T9" s="235" t="s">
        <v>215</v>
      </c>
      <c r="U9" s="235" t="s">
        <v>215</v>
      </c>
      <c r="V9" s="235" t="s">
        <v>215</v>
      </c>
      <c r="W9" s="242"/>
      <c r="AA9" s="243"/>
      <c r="AB9" s="244"/>
      <c r="AC9" s="244"/>
      <c r="AD9" s="244"/>
      <c r="AE9" s="244"/>
      <c r="AF9" s="244"/>
      <c r="AG9" s="38"/>
    </row>
    <row r="10" spans="1:33" x14ac:dyDescent="0.25">
      <c r="A10" s="238" t="s">
        <v>272</v>
      </c>
      <c r="B10" s="241"/>
      <c r="C10" s="83"/>
      <c r="D10" s="315"/>
      <c r="E10" s="195" t="s">
        <v>9</v>
      </c>
      <c r="F10" s="169"/>
      <c r="I10" s="248"/>
      <c r="J10" s="53"/>
      <c r="K10" s="53"/>
      <c r="L10" s="233" t="b">
        <v>0</v>
      </c>
      <c r="M10" s="173"/>
      <c r="N10" s="173"/>
      <c r="O10" s="234">
        <v>8</v>
      </c>
      <c r="P10" s="235" t="s">
        <v>190</v>
      </c>
      <c r="Q10" s="235" t="s">
        <v>226</v>
      </c>
      <c r="R10" s="234" t="s">
        <v>208</v>
      </c>
      <c r="S10" s="235" t="s">
        <v>190</v>
      </c>
      <c r="T10" s="235" t="s">
        <v>190</v>
      </c>
      <c r="U10" s="235" t="s">
        <v>190</v>
      </c>
      <c r="V10" s="235" t="s">
        <v>190</v>
      </c>
      <c r="W10" s="245"/>
      <c r="X10" s="246"/>
      <c r="Y10" s="209"/>
      <c r="Z10" s="207"/>
      <c r="AA10" s="181"/>
      <c r="AB10" s="181"/>
      <c r="AC10" s="130"/>
      <c r="AD10" s="181"/>
      <c r="AE10" s="181"/>
      <c r="AF10" s="130"/>
      <c r="AG10" s="209"/>
    </row>
    <row r="11" spans="1:33" x14ac:dyDescent="0.25">
      <c r="A11" s="247" t="s">
        <v>276</v>
      </c>
      <c r="C11" s="83"/>
      <c r="D11" s="315"/>
      <c r="E11" s="206" t="s">
        <v>271</v>
      </c>
      <c r="F11" s="241"/>
      <c r="I11" s="252"/>
      <c r="J11" s="173"/>
      <c r="K11" s="173"/>
      <c r="L11" s="173"/>
      <c r="M11" s="173"/>
      <c r="N11" s="173"/>
      <c r="O11" s="234">
        <v>9</v>
      </c>
      <c r="P11" s="235" t="s">
        <v>216</v>
      </c>
      <c r="Q11" s="235" t="s">
        <v>227</v>
      </c>
      <c r="R11" s="234" t="s">
        <v>209</v>
      </c>
      <c r="S11" s="235" t="s">
        <v>216</v>
      </c>
      <c r="T11" s="235" t="s">
        <v>216</v>
      </c>
      <c r="U11" s="235" t="s">
        <v>216</v>
      </c>
      <c r="V11" s="235" t="s">
        <v>216</v>
      </c>
      <c r="W11" s="181"/>
      <c r="X11" s="130"/>
      <c r="Y11" s="209"/>
      <c r="Z11" s="207"/>
      <c r="AA11" s="181"/>
      <c r="AB11" s="181"/>
      <c r="AC11" s="130"/>
      <c r="AD11" s="181"/>
      <c r="AE11" s="181"/>
      <c r="AF11" s="130"/>
      <c r="AG11" s="209"/>
    </row>
    <row r="12" spans="1:33" x14ac:dyDescent="0.25">
      <c r="A12" s="249" t="s">
        <v>7</v>
      </c>
      <c r="B12" s="169"/>
      <c r="C12" s="83"/>
      <c r="D12" s="315"/>
      <c r="E12" s="195" t="s">
        <v>66</v>
      </c>
      <c r="F12" s="250"/>
      <c r="G12" s="251" t="s">
        <v>153</v>
      </c>
      <c r="I12" s="169"/>
      <c r="J12" s="253"/>
      <c r="K12" s="253"/>
      <c r="L12" s="254" t="s">
        <v>288</v>
      </c>
      <c r="M12" s="253"/>
      <c r="N12" s="173"/>
      <c r="O12" s="234">
        <v>10</v>
      </c>
      <c r="P12" s="235" t="s">
        <v>222</v>
      </c>
      <c r="Q12" s="235" t="s">
        <v>217</v>
      </c>
      <c r="R12" s="234" t="s">
        <v>210</v>
      </c>
      <c r="S12" s="235" t="s">
        <v>217</v>
      </c>
      <c r="T12" s="235" t="s">
        <v>217</v>
      </c>
      <c r="U12" s="235" t="s">
        <v>217</v>
      </c>
      <c r="V12" s="235" t="s">
        <v>217</v>
      </c>
      <c r="W12" s="181"/>
      <c r="X12" s="130"/>
      <c r="Y12" s="209"/>
      <c r="Z12" s="207"/>
      <c r="AA12" s="181"/>
      <c r="AB12" s="181"/>
      <c r="AC12" s="130"/>
      <c r="AD12" s="181"/>
      <c r="AE12" s="255"/>
      <c r="AF12" s="130"/>
      <c r="AG12" s="209"/>
    </row>
    <row r="13" spans="1:33" x14ac:dyDescent="0.25">
      <c r="A13" s="227" t="s">
        <v>71</v>
      </c>
      <c r="C13" s="83"/>
      <c r="E13" s="195" t="s">
        <v>77</v>
      </c>
      <c r="F13" s="250"/>
      <c r="G13" s="251"/>
      <c r="I13" s="169"/>
      <c r="J13" s="173"/>
      <c r="K13" s="173"/>
      <c r="L13" s="256" t="s">
        <v>15</v>
      </c>
      <c r="M13" s="173"/>
      <c r="N13" s="173"/>
      <c r="O13" s="234">
        <v>11</v>
      </c>
      <c r="P13" s="235" t="s">
        <v>191</v>
      </c>
      <c r="Q13" s="235" t="s">
        <v>228</v>
      </c>
      <c r="R13" s="234" t="s">
        <v>39</v>
      </c>
      <c r="S13" s="235" t="s">
        <v>191</v>
      </c>
      <c r="T13" s="235" t="s">
        <v>191</v>
      </c>
      <c r="U13" s="235" t="s">
        <v>191</v>
      </c>
      <c r="V13" s="235" t="s">
        <v>191</v>
      </c>
      <c r="W13" s="181"/>
      <c r="X13" s="130"/>
      <c r="Y13" s="209"/>
      <c r="Z13" s="207"/>
      <c r="AA13" s="181"/>
      <c r="AB13" s="181"/>
      <c r="AC13" s="130"/>
      <c r="AD13" s="181"/>
      <c r="AE13" s="255"/>
      <c r="AF13" s="130"/>
      <c r="AG13" s="209"/>
    </row>
    <row r="14" spans="1:33" x14ac:dyDescent="0.25">
      <c r="E14" s="206"/>
      <c r="F14" s="241"/>
      <c r="I14" s="169"/>
      <c r="J14" s="173"/>
      <c r="K14" s="173"/>
      <c r="L14" s="256" t="s">
        <v>26</v>
      </c>
      <c r="M14" s="173"/>
      <c r="N14" s="173"/>
      <c r="O14" s="234">
        <v>12</v>
      </c>
      <c r="P14" s="235" t="s">
        <v>192</v>
      </c>
      <c r="Q14" s="235" t="s">
        <v>192</v>
      </c>
      <c r="R14" s="234" t="s">
        <v>40</v>
      </c>
      <c r="S14" s="235" t="s">
        <v>192</v>
      </c>
      <c r="T14" s="235" t="s">
        <v>192</v>
      </c>
      <c r="U14" s="235" t="s">
        <v>192</v>
      </c>
      <c r="V14" s="235" t="s">
        <v>192</v>
      </c>
      <c r="W14" s="181"/>
      <c r="X14" s="130"/>
      <c r="Y14" s="209"/>
      <c r="Z14" s="207"/>
      <c r="AA14" s="181"/>
      <c r="AB14" s="181"/>
      <c r="AC14" s="130"/>
      <c r="AD14" s="181"/>
      <c r="AE14" s="255"/>
      <c r="AF14" s="130"/>
      <c r="AG14" s="209"/>
    </row>
    <row r="15" spans="1:33" x14ac:dyDescent="0.25">
      <c r="A15" s="238" t="s">
        <v>83</v>
      </c>
      <c r="B15" s="169"/>
      <c r="C15" s="83"/>
      <c r="D15" s="315"/>
      <c r="E15" s="206"/>
      <c r="F15" s="56"/>
      <c r="G15" s="226"/>
      <c r="I15" s="169"/>
      <c r="J15" s="173"/>
      <c r="K15" s="173"/>
      <c r="L15" s="256" t="s">
        <v>16</v>
      </c>
      <c r="M15" s="173"/>
      <c r="N15" s="173"/>
      <c r="O15" s="234">
        <v>13</v>
      </c>
      <c r="P15" s="235" t="s">
        <v>193</v>
      </c>
      <c r="Q15" s="235" t="s">
        <v>193</v>
      </c>
      <c r="R15" s="234" t="s">
        <v>41</v>
      </c>
      <c r="S15" s="235" t="s">
        <v>193</v>
      </c>
      <c r="T15" s="235" t="s">
        <v>193</v>
      </c>
      <c r="U15" s="235" t="s">
        <v>193</v>
      </c>
      <c r="V15" s="235" t="s">
        <v>193</v>
      </c>
      <c r="W15" s="181"/>
      <c r="X15" s="130"/>
      <c r="Y15" s="209"/>
      <c r="Z15" s="207"/>
      <c r="AA15" s="181"/>
      <c r="AB15" s="181"/>
      <c r="AC15" s="130"/>
      <c r="AD15" s="181"/>
      <c r="AE15" s="255"/>
      <c r="AF15" s="130"/>
      <c r="AG15" s="209"/>
    </row>
    <row r="16" spans="1:33" x14ac:dyDescent="0.25">
      <c r="A16" s="238" t="s">
        <v>84</v>
      </c>
      <c r="B16" s="169"/>
      <c r="C16" s="85"/>
      <c r="D16" s="318"/>
      <c r="E16" s="206"/>
      <c r="F16" s="241"/>
      <c r="I16" s="169"/>
      <c r="J16" s="173"/>
      <c r="K16" s="173"/>
      <c r="L16" s="256" t="s">
        <v>136</v>
      </c>
      <c r="M16" s="173"/>
      <c r="N16" s="173"/>
      <c r="O16" s="234">
        <v>14</v>
      </c>
      <c r="P16" s="235" t="s">
        <v>194</v>
      </c>
      <c r="Q16" s="235" t="s">
        <v>229</v>
      </c>
      <c r="R16" s="234" t="s">
        <v>43</v>
      </c>
      <c r="S16" s="235" t="s">
        <v>194</v>
      </c>
      <c r="T16" s="235" t="s">
        <v>194</v>
      </c>
      <c r="U16" s="235" t="s">
        <v>194</v>
      </c>
      <c r="V16" s="235" t="s">
        <v>194</v>
      </c>
      <c r="W16" s="181"/>
      <c r="X16" s="130"/>
      <c r="Y16" s="209"/>
      <c r="Z16" s="207"/>
      <c r="AA16" s="181"/>
      <c r="AB16" s="181"/>
      <c r="AC16" s="130"/>
      <c r="AD16" s="181"/>
      <c r="AE16" s="255"/>
      <c r="AF16" s="130"/>
      <c r="AG16" s="209"/>
    </row>
    <row r="17" spans="1:33" x14ac:dyDescent="0.25">
      <c r="A17" s="238" t="s">
        <v>150</v>
      </c>
      <c r="B17" s="203"/>
      <c r="C17" s="131" t="str">
        <f>IF(C15="","",VLOOKUP(C15,NEH!$F$4:$H$27,2,FALSE))</f>
        <v/>
      </c>
      <c r="D17" s="288"/>
      <c r="E17" s="195" t="s">
        <v>9</v>
      </c>
      <c r="F17" s="241"/>
      <c r="G17" s="251" t="s">
        <v>296</v>
      </c>
      <c r="I17" s="169"/>
      <c r="J17" s="173"/>
      <c r="K17" s="173"/>
      <c r="L17" s="256" t="s">
        <v>169</v>
      </c>
      <c r="M17" s="173"/>
      <c r="N17" s="173"/>
      <c r="O17" s="234">
        <v>15</v>
      </c>
      <c r="P17" s="235" t="s">
        <v>195</v>
      </c>
      <c r="Q17" s="235" t="s">
        <v>230</v>
      </c>
      <c r="R17" s="234" t="s">
        <v>42</v>
      </c>
      <c r="S17" s="235" t="s">
        <v>195</v>
      </c>
      <c r="T17" s="235"/>
      <c r="U17" s="235" t="s">
        <v>195</v>
      </c>
      <c r="V17" s="235" t="s">
        <v>195</v>
      </c>
      <c r="W17" s="255"/>
      <c r="X17" s="130"/>
      <c r="Y17" s="209"/>
      <c r="Z17" s="207"/>
      <c r="AA17" s="181"/>
      <c r="AB17" s="181"/>
      <c r="AC17" s="130"/>
      <c r="AD17" s="181"/>
      <c r="AE17" s="255"/>
      <c r="AF17" s="130"/>
      <c r="AG17" s="209"/>
    </row>
    <row r="18" spans="1:33" x14ac:dyDescent="0.25">
      <c r="A18" s="238" t="s">
        <v>158</v>
      </c>
      <c r="B18" s="203"/>
      <c r="C18" s="86"/>
      <c r="D18" s="288"/>
      <c r="E18" s="195" t="s">
        <v>167</v>
      </c>
      <c r="F18" s="241"/>
      <c r="G18" s="251" t="s">
        <v>309</v>
      </c>
      <c r="J18" s="173"/>
      <c r="K18" s="173"/>
      <c r="L18" s="256" t="s">
        <v>185</v>
      </c>
      <c r="M18" s="173"/>
      <c r="N18" s="173"/>
      <c r="O18" s="234">
        <v>16</v>
      </c>
      <c r="P18" s="235" t="s">
        <v>196</v>
      </c>
      <c r="Q18" s="235" t="s">
        <v>196</v>
      </c>
      <c r="R18" s="234" t="s">
        <v>44</v>
      </c>
      <c r="S18" s="235" t="s">
        <v>196</v>
      </c>
      <c r="T18" s="235"/>
      <c r="U18" s="235" t="s">
        <v>196</v>
      </c>
      <c r="V18" s="235" t="s">
        <v>196</v>
      </c>
      <c r="W18" s="255"/>
      <c r="X18" s="130"/>
      <c r="Y18" s="209"/>
      <c r="Z18" s="207"/>
      <c r="AA18" s="181"/>
      <c r="AB18" s="181"/>
      <c r="AC18" s="130"/>
      <c r="AD18" s="181"/>
      <c r="AE18" s="255"/>
      <c r="AF18" s="130"/>
      <c r="AG18" s="209"/>
    </row>
    <row r="19" spans="1:33" x14ac:dyDescent="0.25">
      <c r="A19" s="238" t="s">
        <v>159</v>
      </c>
      <c r="B19" s="203"/>
      <c r="C19" s="465" t="str">
        <f>IF($C$15="","",VLOOKUP($C$15,NEH!$C$4:$D$24,2,FALSE))</f>
        <v/>
      </c>
      <c r="D19" s="288"/>
      <c r="E19" s="195" t="s">
        <v>166</v>
      </c>
      <c r="F19" s="241"/>
      <c r="G19" s="251" t="s">
        <v>287</v>
      </c>
      <c r="H19" s="208"/>
      <c r="I19" s="169"/>
      <c r="J19" s="173"/>
      <c r="K19" s="173"/>
      <c r="L19" s="257">
        <f>IF(ISNUMBER(MATCH(C15,L13:L18,0))=FALSE,C15,"")</f>
        <v>0</v>
      </c>
      <c r="M19" s="173"/>
      <c r="N19" s="173"/>
      <c r="O19" s="234">
        <v>17</v>
      </c>
      <c r="P19" s="235" t="s">
        <v>197</v>
      </c>
      <c r="Q19" s="235" t="s">
        <v>231</v>
      </c>
      <c r="R19" s="234" t="s">
        <v>45</v>
      </c>
      <c r="S19" s="235" t="s">
        <v>197</v>
      </c>
      <c r="T19" s="235"/>
      <c r="U19" s="235" t="s">
        <v>197</v>
      </c>
      <c r="V19" s="235" t="s">
        <v>197</v>
      </c>
      <c r="W19" s="255"/>
      <c r="X19" s="130"/>
      <c r="Y19" s="209"/>
      <c r="Z19" s="207"/>
      <c r="AA19" s="181"/>
      <c r="AB19" s="181"/>
      <c r="AC19" s="130"/>
      <c r="AD19" s="181"/>
      <c r="AE19" s="255"/>
      <c r="AF19" s="130"/>
      <c r="AG19" s="209"/>
    </row>
    <row r="20" spans="1:33" x14ac:dyDescent="0.25">
      <c r="E20" s="206"/>
      <c r="F20" s="241"/>
      <c r="H20" s="208"/>
      <c r="I20" s="169"/>
      <c r="J20" s="173"/>
      <c r="K20" s="173"/>
      <c r="L20" s="173"/>
      <c r="M20" s="173"/>
      <c r="N20" s="173"/>
      <c r="O20" s="234">
        <v>18</v>
      </c>
      <c r="P20" s="235" t="s">
        <v>198</v>
      </c>
      <c r="Q20" s="235"/>
      <c r="R20" s="234" t="s">
        <v>46</v>
      </c>
      <c r="S20" s="235" t="s">
        <v>198</v>
      </c>
      <c r="T20" s="235"/>
      <c r="U20" s="235" t="s">
        <v>198</v>
      </c>
      <c r="V20" s="235" t="s">
        <v>198</v>
      </c>
      <c r="W20" s="255"/>
      <c r="X20" s="130"/>
      <c r="Y20" s="209"/>
      <c r="Z20" s="207"/>
      <c r="AA20" s="181"/>
      <c r="AB20" s="181"/>
      <c r="AC20" s="130"/>
      <c r="AD20" s="181"/>
      <c r="AE20" s="255"/>
      <c r="AF20" s="130"/>
      <c r="AG20" s="209"/>
    </row>
    <row r="21" spans="1:33" x14ac:dyDescent="0.25">
      <c r="A21" s="238" t="s">
        <v>173</v>
      </c>
      <c r="B21" s="169"/>
      <c r="C21" s="83"/>
      <c r="D21" s="315"/>
      <c r="E21" s="206"/>
      <c r="F21" s="169"/>
      <c r="H21" s="38"/>
      <c r="I21" s="169"/>
      <c r="J21" s="173"/>
      <c r="K21" s="173"/>
      <c r="L21" s="313" t="s">
        <v>311</v>
      </c>
      <c r="M21" s="173"/>
      <c r="N21" s="173"/>
      <c r="O21" s="234">
        <v>19</v>
      </c>
      <c r="P21" s="235" t="s">
        <v>199</v>
      </c>
      <c r="Q21" s="235"/>
      <c r="R21" s="234" t="s">
        <v>47</v>
      </c>
      <c r="S21" s="235" t="s">
        <v>199</v>
      </c>
      <c r="T21" s="235"/>
      <c r="U21" s="235" t="s">
        <v>199</v>
      </c>
      <c r="V21" s="235" t="s">
        <v>199</v>
      </c>
      <c r="W21" s="255"/>
      <c r="X21" s="130"/>
      <c r="Y21" s="209"/>
      <c r="Z21" s="207"/>
      <c r="AA21" s="181"/>
      <c r="AB21" s="181"/>
      <c r="AC21" s="130"/>
      <c r="AD21" s="181"/>
      <c r="AE21" s="255"/>
      <c r="AF21" s="130"/>
      <c r="AG21" s="209"/>
    </row>
    <row r="22" spans="1:33" x14ac:dyDescent="0.25">
      <c r="A22" s="238" t="s">
        <v>11</v>
      </c>
      <c r="B22" s="203"/>
      <c r="C22" s="84"/>
      <c r="D22" s="288"/>
      <c r="E22" s="195" t="s">
        <v>325</v>
      </c>
      <c r="F22" s="169"/>
      <c r="G22" s="200"/>
      <c r="H22" s="38"/>
      <c r="J22" s="169"/>
      <c r="K22" s="169"/>
      <c r="L22" s="169" t="s">
        <v>313</v>
      </c>
      <c r="M22" s="169"/>
      <c r="N22" s="169"/>
      <c r="O22" s="234">
        <v>20</v>
      </c>
      <c r="P22" s="235" t="s">
        <v>200</v>
      </c>
      <c r="Q22" s="235"/>
      <c r="R22" s="234" t="s">
        <v>48</v>
      </c>
      <c r="S22" s="235" t="s">
        <v>200</v>
      </c>
      <c r="T22" s="235"/>
      <c r="U22" s="260"/>
      <c r="V22" s="235" t="s">
        <v>200</v>
      </c>
      <c r="W22" s="255"/>
      <c r="X22" s="130"/>
      <c r="Y22" s="209"/>
      <c r="Z22" s="207"/>
      <c r="AA22" s="181"/>
      <c r="AB22" s="181"/>
      <c r="AC22" s="130"/>
      <c r="AD22" s="181"/>
      <c r="AE22" s="255"/>
      <c r="AF22" s="130"/>
      <c r="AG22" s="209"/>
    </row>
    <row r="23" spans="1:33" x14ac:dyDescent="0.25">
      <c r="A23" s="227" t="s">
        <v>324</v>
      </c>
      <c r="B23" s="258"/>
      <c r="C23" s="87"/>
      <c r="D23" s="319"/>
      <c r="E23" s="195" t="s">
        <v>325</v>
      </c>
      <c r="G23" s="259" t="s">
        <v>310</v>
      </c>
      <c r="H23" s="38"/>
      <c r="J23" s="169"/>
      <c r="K23" s="169"/>
      <c r="L23" s="169" t="s">
        <v>314</v>
      </c>
      <c r="M23" s="169"/>
      <c r="N23" s="169"/>
      <c r="O23" s="234">
        <v>21</v>
      </c>
      <c r="P23" s="235" t="s">
        <v>201</v>
      </c>
      <c r="Q23" s="235"/>
      <c r="R23" s="234" t="s">
        <v>49</v>
      </c>
      <c r="S23" s="235" t="s">
        <v>201</v>
      </c>
      <c r="T23" s="235"/>
      <c r="U23" s="260"/>
      <c r="V23" s="235" t="s">
        <v>201</v>
      </c>
      <c r="W23" s="255"/>
      <c r="X23" s="130"/>
      <c r="Y23" s="209"/>
      <c r="Z23" s="207"/>
      <c r="AA23" s="181"/>
      <c r="AB23" s="181"/>
      <c r="AC23" s="130"/>
      <c r="AD23" s="181"/>
      <c r="AE23" s="255"/>
      <c r="AF23" s="130"/>
      <c r="AG23" s="209"/>
    </row>
    <row r="24" spans="1:33" x14ac:dyDescent="0.25">
      <c r="H24" s="38"/>
      <c r="I24" s="38"/>
      <c r="L24" s="174" t="s">
        <v>315</v>
      </c>
      <c r="M24" s="38"/>
      <c r="N24" s="38"/>
      <c r="O24" s="234">
        <v>22</v>
      </c>
      <c r="P24" s="235" t="s">
        <v>202</v>
      </c>
      <c r="Q24" s="235"/>
      <c r="R24" s="234" t="s">
        <v>50</v>
      </c>
      <c r="S24" s="235" t="s">
        <v>202</v>
      </c>
      <c r="T24" s="235"/>
      <c r="U24" s="260"/>
      <c r="V24" s="235" t="s">
        <v>202</v>
      </c>
      <c r="W24" s="261"/>
      <c r="X24" s="203"/>
      <c r="Y24" s="204"/>
      <c r="Z24" s="250"/>
      <c r="AA24" s="169"/>
      <c r="AB24" s="169"/>
      <c r="AC24" s="203"/>
      <c r="AD24" s="169"/>
      <c r="AE24" s="261"/>
      <c r="AF24" s="130"/>
      <c r="AG24" s="209"/>
    </row>
    <row r="25" spans="1:33" x14ac:dyDescent="0.25">
      <c r="A25" s="238" t="s">
        <v>274</v>
      </c>
      <c r="B25" s="169"/>
      <c r="C25" s="133" t="str">
        <f>IF('Net Irrigation Calculator'!$D$10="","",'Net Irrigation Calculator'!$D$10)</f>
        <v/>
      </c>
      <c r="D25" s="320"/>
      <c r="E25" s="322">
        <f>IF(_xlfn.ISFORMULA(C25)=TRUE,'Net Irrigation Calculator'!$D$9,"acre feet")</f>
        <v>0</v>
      </c>
      <c r="G25" s="281" t="s">
        <v>308</v>
      </c>
      <c r="H25" s="38"/>
      <c r="I25" s="38"/>
      <c r="L25" s="174" t="s">
        <v>316</v>
      </c>
      <c r="M25" s="38"/>
      <c r="N25" s="38"/>
      <c r="O25" s="234">
        <v>23</v>
      </c>
      <c r="P25" s="235" t="s">
        <v>203</v>
      </c>
      <c r="Q25" s="235"/>
      <c r="R25" s="234" t="s">
        <v>109</v>
      </c>
      <c r="S25" s="235" t="s">
        <v>203</v>
      </c>
      <c r="T25" s="235"/>
      <c r="U25" s="260"/>
      <c r="V25" s="235" t="s">
        <v>203</v>
      </c>
      <c r="W25" s="255"/>
      <c r="X25" s="130"/>
      <c r="Y25" s="209"/>
      <c r="Z25" s="207"/>
      <c r="AA25" s="181"/>
      <c r="AB25" s="181"/>
      <c r="AC25" s="130"/>
      <c r="AD25" s="181"/>
      <c r="AE25" s="255"/>
      <c r="AF25" s="130"/>
      <c r="AG25" s="209"/>
    </row>
    <row r="26" spans="1:33" x14ac:dyDescent="0.25">
      <c r="A26" s="249" t="s">
        <v>275</v>
      </c>
      <c r="B26" s="262"/>
      <c r="C26" s="132" t="str">
        <f>IF($C$25="","",'Net Irrigation Calculator'!$M$5)</f>
        <v/>
      </c>
      <c r="D26" s="321"/>
      <c r="E26" s="323">
        <f>$E$25</f>
        <v>0</v>
      </c>
      <c r="G26" s="281" t="s">
        <v>308</v>
      </c>
      <c r="I26" s="38"/>
      <c r="J26" s="38"/>
      <c r="K26" s="38"/>
      <c r="L26" s="38" t="s">
        <v>317</v>
      </c>
      <c r="M26" s="38"/>
      <c r="N26" s="38"/>
      <c r="O26" s="234">
        <v>24</v>
      </c>
      <c r="P26" s="235" t="s">
        <v>204</v>
      </c>
      <c r="Q26" s="235"/>
      <c r="R26" s="234" t="s">
        <v>110</v>
      </c>
      <c r="S26" s="235" t="s">
        <v>204</v>
      </c>
      <c r="T26" s="235"/>
      <c r="U26" s="260"/>
      <c r="V26" s="235" t="s">
        <v>204</v>
      </c>
      <c r="W26" s="255"/>
      <c r="X26" s="130"/>
      <c r="Y26" s="209"/>
      <c r="Z26" s="207"/>
      <c r="AA26" s="181"/>
      <c r="AB26" s="181"/>
      <c r="AC26" s="130"/>
      <c r="AD26" s="181"/>
      <c r="AE26" s="255"/>
      <c r="AF26" s="130"/>
      <c r="AG26" s="209"/>
    </row>
    <row r="27" spans="1:33" x14ac:dyDescent="0.25">
      <c r="J27" s="38"/>
      <c r="K27" s="38"/>
      <c r="L27" s="38" t="s">
        <v>318</v>
      </c>
      <c r="M27" s="38"/>
      <c r="N27" s="38"/>
      <c r="O27" s="205"/>
      <c r="P27" s="38"/>
      <c r="Q27" s="38"/>
      <c r="R27" s="207"/>
      <c r="S27" s="181"/>
      <c r="T27" s="181"/>
      <c r="U27" s="130"/>
      <c r="V27" s="245"/>
      <c r="W27" s="255"/>
      <c r="X27" s="130"/>
      <c r="Y27" s="209"/>
      <c r="Z27" s="207"/>
      <c r="AA27" s="181"/>
      <c r="AB27" s="181"/>
      <c r="AC27" s="130"/>
      <c r="AD27" s="181"/>
      <c r="AE27" s="255"/>
      <c r="AF27" s="130"/>
      <c r="AG27" s="209"/>
    </row>
    <row r="28" spans="1:33" ht="16.5" thickBot="1" x14ac:dyDescent="0.3">
      <c r="J28" s="38"/>
      <c r="K28" s="38"/>
      <c r="L28" s="38" t="s">
        <v>319</v>
      </c>
      <c r="M28" s="38"/>
      <c r="N28" s="38"/>
      <c r="O28" s="205"/>
      <c r="P28" s="38"/>
      <c r="Q28" s="38"/>
      <c r="R28" s="207"/>
      <c r="S28" s="181"/>
      <c r="T28" s="181"/>
      <c r="U28" s="130"/>
      <c r="V28" s="245"/>
      <c r="W28" s="255"/>
      <c r="X28" s="130"/>
      <c r="Y28" s="209"/>
      <c r="Z28" s="207"/>
      <c r="AA28" s="181"/>
      <c r="AB28" s="181"/>
      <c r="AC28" s="130"/>
      <c r="AD28" s="181"/>
      <c r="AE28" s="255"/>
      <c r="AF28" s="130"/>
      <c r="AG28" s="209"/>
    </row>
    <row r="29" spans="1:33" ht="15" customHeight="1" x14ac:dyDescent="0.3">
      <c r="A29" s="263" t="s">
        <v>59</v>
      </c>
      <c r="B29" s="264"/>
      <c r="C29" s="539" t="s">
        <v>119</v>
      </c>
      <c r="D29" s="540"/>
      <c r="E29" s="540"/>
      <c r="F29" s="540"/>
      <c r="G29" s="541"/>
      <c r="L29" s="174" t="s">
        <v>312</v>
      </c>
      <c r="O29" s="205"/>
      <c r="P29" s="38"/>
      <c r="Q29" s="38"/>
      <c r="R29" s="207"/>
      <c r="S29" s="181"/>
      <c r="T29" s="181"/>
      <c r="U29" s="130"/>
      <c r="V29" s="245"/>
      <c r="W29" s="255"/>
      <c r="X29" s="130"/>
      <c r="Y29" s="209"/>
      <c r="Z29" s="207"/>
      <c r="AA29" s="181"/>
      <c r="AB29" s="181"/>
      <c r="AC29" s="130"/>
      <c r="AD29" s="181"/>
      <c r="AE29" s="255"/>
      <c r="AF29" s="130"/>
      <c r="AG29" s="209"/>
    </row>
    <row r="30" spans="1:33" x14ac:dyDescent="0.25">
      <c r="A30" s="59" t="s">
        <v>306</v>
      </c>
      <c r="B30" s="265"/>
      <c r="C30" s="535" t="s">
        <v>307</v>
      </c>
      <c r="D30" s="536"/>
      <c r="E30" s="536"/>
      <c r="F30" s="536"/>
      <c r="G30" s="537"/>
      <c r="L30" s="174" t="s">
        <v>320</v>
      </c>
      <c r="O30" s="205"/>
      <c r="P30" s="38"/>
      <c r="Q30" s="38"/>
      <c r="R30" s="207"/>
      <c r="S30" s="181"/>
      <c r="T30" s="181"/>
      <c r="U30" s="130"/>
      <c r="V30" s="245"/>
      <c r="W30" s="255"/>
      <c r="X30" s="130"/>
      <c r="Y30" s="209"/>
      <c r="Z30" s="207"/>
      <c r="AA30" s="181"/>
      <c r="AB30" s="181"/>
      <c r="AC30" s="130"/>
      <c r="AD30" s="181"/>
      <c r="AE30" s="255"/>
      <c r="AF30" s="130"/>
      <c r="AG30" s="209"/>
    </row>
    <row r="31" spans="1:33" x14ac:dyDescent="0.25">
      <c r="A31" s="60"/>
      <c r="B31" s="266"/>
      <c r="C31" s="532"/>
      <c r="D31" s="533"/>
      <c r="E31" s="533"/>
      <c r="F31" s="533"/>
      <c r="G31" s="534"/>
      <c r="L31" s="174" t="s">
        <v>321</v>
      </c>
      <c r="O31" s="205"/>
      <c r="P31" s="38"/>
      <c r="Q31" s="38"/>
      <c r="R31" s="207"/>
      <c r="S31" s="181"/>
      <c r="T31" s="181"/>
      <c r="U31" s="130"/>
      <c r="V31" s="245"/>
      <c r="W31" s="255"/>
      <c r="X31" s="130"/>
      <c r="Y31" s="209"/>
      <c r="Z31" s="207"/>
      <c r="AA31" s="181"/>
      <c r="AB31" s="181"/>
      <c r="AC31" s="130"/>
      <c r="AD31" s="181"/>
      <c r="AE31" s="255"/>
      <c r="AF31" s="130"/>
      <c r="AG31" s="209"/>
    </row>
    <row r="32" spans="1:33" x14ac:dyDescent="0.25">
      <c r="A32" s="60"/>
      <c r="B32" s="266"/>
      <c r="C32" s="532"/>
      <c r="D32" s="533"/>
      <c r="E32" s="533"/>
      <c r="F32" s="533"/>
      <c r="G32" s="534"/>
      <c r="L32" s="174" t="s">
        <v>322</v>
      </c>
      <c r="O32" s="205"/>
      <c r="P32" s="38"/>
      <c r="Q32" s="38"/>
      <c r="R32" s="207"/>
      <c r="S32" s="181"/>
      <c r="T32" s="181"/>
      <c r="U32" s="130"/>
      <c r="V32" s="245"/>
      <c r="W32" s="255"/>
      <c r="X32" s="130"/>
      <c r="Y32" s="209"/>
      <c r="Z32" s="207"/>
      <c r="AA32" s="181"/>
      <c r="AB32" s="181"/>
      <c r="AC32" s="130"/>
      <c r="AD32" s="181"/>
      <c r="AE32" s="255"/>
      <c r="AF32" s="130"/>
      <c r="AG32" s="209"/>
    </row>
    <row r="33" spans="1:33" x14ac:dyDescent="0.25">
      <c r="A33" s="60"/>
      <c r="B33" s="266"/>
      <c r="C33" s="532"/>
      <c r="D33" s="533"/>
      <c r="E33" s="533"/>
      <c r="F33" s="533"/>
      <c r="G33" s="534"/>
      <c r="L33" s="174" t="s">
        <v>323</v>
      </c>
      <c r="O33" s="205"/>
      <c r="P33" s="38"/>
      <c r="Q33" s="38"/>
      <c r="R33" s="207"/>
      <c r="S33" s="181"/>
      <c r="T33" s="181"/>
      <c r="U33" s="130"/>
      <c r="V33" s="245"/>
      <c r="W33" s="255"/>
      <c r="X33" s="130"/>
      <c r="Y33" s="209"/>
      <c r="Z33" s="207"/>
      <c r="AA33" s="181"/>
      <c r="AB33" s="181"/>
      <c r="AC33" s="130"/>
      <c r="AD33" s="181"/>
      <c r="AE33" s="255"/>
      <c r="AF33" s="130"/>
      <c r="AG33" s="209"/>
    </row>
    <row r="34" spans="1:33" x14ac:dyDescent="0.25">
      <c r="A34" s="60"/>
      <c r="B34" s="266"/>
      <c r="C34" s="532"/>
      <c r="D34" s="533"/>
      <c r="E34" s="533"/>
      <c r="F34" s="533"/>
      <c r="G34" s="534"/>
      <c r="O34" s="205"/>
      <c r="P34" s="38"/>
      <c r="Q34" s="38"/>
      <c r="R34" s="207"/>
      <c r="S34" s="181"/>
      <c r="T34" s="181"/>
      <c r="U34" s="130"/>
      <c r="V34" s="245"/>
      <c r="W34" s="255"/>
      <c r="X34" s="130"/>
      <c r="Y34" s="209"/>
      <c r="Z34" s="207"/>
      <c r="AA34" s="181"/>
      <c r="AB34" s="181"/>
      <c r="AC34" s="130"/>
      <c r="AD34" s="181"/>
      <c r="AE34" s="255"/>
      <c r="AF34" s="130"/>
      <c r="AG34" s="209"/>
    </row>
    <row r="35" spans="1:33" x14ac:dyDescent="0.25">
      <c r="A35" s="60"/>
      <c r="B35" s="266"/>
      <c r="C35" s="532"/>
      <c r="D35" s="533"/>
      <c r="E35" s="533"/>
      <c r="F35" s="533"/>
      <c r="G35" s="534"/>
      <c r="O35" s="205"/>
      <c r="P35" s="38"/>
      <c r="Q35" s="38"/>
      <c r="R35" s="207"/>
      <c r="S35" s="181"/>
      <c r="T35" s="181"/>
      <c r="U35" s="130"/>
      <c r="V35" s="245"/>
      <c r="W35" s="255"/>
      <c r="X35" s="130"/>
      <c r="Y35" s="209"/>
      <c r="Z35" s="207"/>
      <c r="AA35" s="181"/>
      <c r="AB35" s="181"/>
      <c r="AC35" s="130"/>
      <c r="AD35" s="181"/>
      <c r="AE35" s="255"/>
      <c r="AF35" s="130"/>
      <c r="AG35" s="209"/>
    </row>
    <row r="36" spans="1:33" x14ac:dyDescent="0.25">
      <c r="A36" s="60"/>
      <c r="B36" s="266"/>
      <c r="C36" s="532"/>
      <c r="D36" s="533"/>
      <c r="E36" s="533"/>
      <c r="F36" s="533"/>
      <c r="G36" s="534"/>
      <c r="O36" s="205"/>
      <c r="P36" s="38"/>
      <c r="Q36" s="38"/>
      <c r="R36" s="207"/>
      <c r="S36" s="181"/>
      <c r="T36" s="181"/>
      <c r="U36" s="130"/>
      <c r="V36" s="245"/>
      <c r="W36" s="255"/>
      <c r="X36" s="130"/>
      <c r="Y36" s="209"/>
      <c r="Z36" s="207"/>
      <c r="AA36" s="181"/>
      <c r="AB36" s="181"/>
      <c r="AC36" s="130"/>
      <c r="AD36" s="181"/>
      <c r="AE36" s="255"/>
      <c r="AF36" s="130"/>
      <c r="AG36" s="209"/>
    </row>
    <row r="37" spans="1:33" ht="15.6" customHeight="1" x14ac:dyDescent="0.25">
      <c r="A37" s="60"/>
      <c r="B37" s="266"/>
      <c r="C37" s="532"/>
      <c r="D37" s="533"/>
      <c r="E37" s="533"/>
      <c r="F37" s="533"/>
      <c r="G37" s="534"/>
      <c r="O37" s="205"/>
      <c r="P37" s="38"/>
      <c r="Q37" s="38"/>
      <c r="R37" s="207"/>
      <c r="S37" s="181"/>
      <c r="T37" s="181"/>
      <c r="U37" s="130"/>
      <c r="V37" s="245"/>
      <c r="W37" s="255"/>
      <c r="X37" s="130"/>
      <c r="Y37" s="209"/>
      <c r="Z37" s="207"/>
      <c r="AA37" s="181"/>
      <c r="AB37" s="181"/>
      <c r="AC37" s="130"/>
      <c r="AD37" s="181"/>
      <c r="AE37" s="255"/>
      <c r="AF37" s="130"/>
      <c r="AG37" s="209"/>
    </row>
    <row r="38" spans="1:33" x14ac:dyDescent="0.25">
      <c r="A38" s="60"/>
      <c r="B38" s="266"/>
      <c r="C38" s="532"/>
      <c r="D38" s="533"/>
      <c r="E38" s="533"/>
      <c r="F38" s="533"/>
      <c r="G38" s="534"/>
      <c r="O38" s="205"/>
      <c r="P38" s="38"/>
      <c r="Q38" s="38"/>
      <c r="R38" s="207"/>
      <c r="S38" s="181"/>
      <c r="T38" s="181"/>
      <c r="U38" s="130"/>
      <c r="V38" s="245"/>
      <c r="W38" s="255"/>
      <c r="X38" s="130"/>
      <c r="Y38" s="209"/>
      <c r="Z38" s="207"/>
      <c r="AA38" s="181"/>
      <c r="AB38" s="181"/>
      <c r="AC38" s="130"/>
      <c r="AD38" s="181"/>
      <c r="AE38" s="255"/>
      <c r="AF38" s="130"/>
      <c r="AG38" s="209"/>
    </row>
    <row r="39" spans="1:33" x14ac:dyDescent="0.25">
      <c r="A39" s="60"/>
      <c r="B39" s="266"/>
      <c r="C39" s="532"/>
      <c r="D39" s="533"/>
      <c r="E39" s="533"/>
      <c r="F39" s="533"/>
      <c r="G39" s="534"/>
      <c r="O39" s="205"/>
      <c r="P39" s="38"/>
      <c r="Q39" s="38"/>
      <c r="R39" s="207"/>
      <c r="S39" s="181"/>
      <c r="T39" s="181"/>
      <c r="U39" s="130"/>
      <c r="V39" s="245"/>
      <c r="W39" s="255"/>
      <c r="X39" s="130"/>
      <c r="Y39" s="209"/>
      <c r="Z39" s="207"/>
      <c r="AA39" s="181"/>
      <c r="AB39" s="181"/>
      <c r="AC39" s="130"/>
      <c r="AD39" s="181"/>
      <c r="AE39" s="255"/>
      <c r="AF39" s="130"/>
      <c r="AG39" s="209"/>
    </row>
    <row r="40" spans="1:33" x14ac:dyDescent="0.25">
      <c r="A40" s="60"/>
      <c r="B40" s="266"/>
      <c r="C40" s="532"/>
      <c r="D40" s="533"/>
      <c r="E40" s="533"/>
      <c r="F40" s="533"/>
      <c r="G40" s="534"/>
      <c r="O40" s="205"/>
      <c r="P40" s="38"/>
      <c r="Q40" s="38"/>
      <c r="R40" s="207"/>
      <c r="S40" s="181"/>
      <c r="T40" s="181"/>
      <c r="U40" s="130"/>
      <c r="V40" s="245"/>
      <c r="W40" s="255"/>
      <c r="X40" s="130"/>
      <c r="Y40" s="209"/>
      <c r="Z40" s="207"/>
      <c r="AA40" s="181"/>
      <c r="AB40" s="181"/>
      <c r="AC40" s="130"/>
      <c r="AD40" s="181"/>
      <c r="AE40" s="255"/>
      <c r="AF40" s="130"/>
      <c r="AG40" s="209"/>
    </row>
    <row r="41" spans="1:33" x14ac:dyDescent="0.25">
      <c r="A41" s="60"/>
      <c r="B41" s="266"/>
      <c r="C41" s="532"/>
      <c r="D41" s="533"/>
      <c r="E41" s="533"/>
      <c r="F41" s="533"/>
      <c r="G41" s="534"/>
      <c r="H41" s="207"/>
      <c r="O41" s="205"/>
      <c r="P41" s="38"/>
      <c r="Q41" s="38"/>
      <c r="R41" s="207"/>
      <c r="S41" s="181"/>
      <c r="T41" s="181"/>
      <c r="U41" s="130"/>
      <c r="V41" s="245"/>
      <c r="W41" s="255"/>
      <c r="X41" s="130"/>
      <c r="Y41" s="209"/>
      <c r="Z41" s="207"/>
      <c r="AA41" s="181"/>
      <c r="AB41" s="181"/>
      <c r="AC41" s="130"/>
      <c r="AD41" s="181"/>
      <c r="AE41" s="255"/>
      <c r="AF41" s="130"/>
      <c r="AG41" s="209"/>
    </row>
    <row r="42" spans="1:33" x14ac:dyDescent="0.25">
      <c r="A42" s="60"/>
      <c r="B42" s="266"/>
      <c r="C42" s="532"/>
      <c r="D42" s="533"/>
      <c r="E42" s="533"/>
      <c r="F42" s="533"/>
      <c r="G42" s="534"/>
      <c r="H42" s="207"/>
      <c r="I42" s="181"/>
      <c r="O42" s="205"/>
      <c r="P42" s="38"/>
      <c r="Q42" s="38"/>
      <c r="R42" s="207"/>
      <c r="S42" s="181"/>
      <c r="T42" s="181"/>
      <c r="U42" s="130"/>
      <c r="V42" s="245"/>
      <c r="W42" s="255"/>
      <c r="X42" s="130"/>
      <c r="Y42" s="209"/>
      <c r="Z42" s="207"/>
      <c r="AA42" s="181"/>
      <c r="AB42" s="181"/>
      <c r="AC42" s="130"/>
      <c r="AD42" s="181"/>
      <c r="AE42" s="255"/>
      <c r="AF42" s="130"/>
      <c r="AG42" s="209"/>
    </row>
    <row r="43" spans="1:33" x14ac:dyDescent="0.25">
      <c r="A43" s="60"/>
      <c r="B43" s="266"/>
      <c r="C43" s="532"/>
      <c r="D43" s="533"/>
      <c r="E43" s="533"/>
      <c r="F43" s="533"/>
      <c r="G43" s="534"/>
      <c r="H43" s="207"/>
      <c r="I43" s="181"/>
      <c r="O43" s="205"/>
      <c r="P43" s="38"/>
      <c r="Q43" s="38"/>
      <c r="R43" s="207"/>
      <c r="S43" s="181"/>
      <c r="T43" s="181"/>
      <c r="U43" s="130"/>
      <c r="V43" s="245"/>
      <c r="W43" s="255"/>
      <c r="X43" s="130"/>
      <c r="Y43" s="209"/>
      <c r="Z43" s="207"/>
      <c r="AA43" s="181"/>
      <c r="AB43" s="181"/>
      <c r="AC43" s="130"/>
      <c r="AD43" s="181"/>
      <c r="AE43" s="255"/>
      <c r="AF43" s="130"/>
      <c r="AG43" s="209"/>
    </row>
    <row r="44" spans="1:33" x14ac:dyDescent="0.25">
      <c r="A44" s="60"/>
      <c r="B44" s="266"/>
      <c r="C44" s="532"/>
      <c r="D44" s="533"/>
      <c r="E44" s="533"/>
      <c r="F44" s="533"/>
      <c r="G44" s="534"/>
      <c r="H44" s="207"/>
      <c r="I44" s="181"/>
      <c r="J44" s="181"/>
      <c r="K44" s="130"/>
      <c r="L44" s="181"/>
      <c r="M44" s="181"/>
      <c r="N44" s="130"/>
      <c r="O44" s="205"/>
      <c r="P44" s="38"/>
      <c r="Q44" s="38"/>
      <c r="R44" s="207"/>
      <c r="S44" s="181"/>
      <c r="T44" s="181"/>
      <c r="U44" s="130"/>
      <c r="V44" s="245"/>
      <c r="W44" s="255"/>
      <c r="X44" s="130"/>
      <c r="Y44" s="209"/>
      <c r="Z44" s="207"/>
      <c r="AA44" s="181"/>
      <c r="AB44" s="181"/>
      <c r="AC44" s="130"/>
      <c r="AD44" s="181"/>
      <c r="AE44" s="255"/>
      <c r="AF44" s="130"/>
      <c r="AG44" s="209"/>
    </row>
    <row r="45" spans="1:33" x14ac:dyDescent="0.25">
      <c r="A45" s="60"/>
      <c r="B45" s="266"/>
      <c r="C45" s="532"/>
      <c r="D45" s="533"/>
      <c r="E45" s="533"/>
      <c r="F45" s="533"/>
      <c r="G45" s="534"/>
      <c r="H45" s="207"/>
      <c r="I45" s="181"/>
      <c r="J45" s="181"/>
      <c r="K45" s="130"/>
      <c r="L45" s="181"/>
      <c r="M45" s="181"/>
      <c r="N45" s="130"/>
      <c r="O45" s="205"/>
      <c r="P45" s="38"/>
      <c r="Q45" s="38"/>
      <c r="R45" s="207"/>
      <c r="S45" s="181"/>
      <c r="T45" s="181"/>
      <c r="U45" s="130"/>
      <c r="V45" s="36"/>
      <c r="W45" s="255"/>
      <c r="X45" s="130"/>
      <c r="Y45" s="209"/>
      <c r="Z45" s="207"/>
      <c r="AA45" s="181"/>
      <c r="AB45" s="181"/>
      <c r="AC45" s="130"/>
      <c r="AD45" s="181"/>
      <c r="AE45" s="255"/>
      <c r="AF45" s="130"/>
      <c r="AG45" s="209"/>
    </row>
    <row r="46" spans="1:33" x14ac:dyDescent="0.25">
      <c r="A46" s="60"/>
      <c r="B46" s="266"/>
      <c r="C46" s="532"/>
      <c r="D46" s="533"/>
      <c r="E46" s="533"/>
      <c r="F46" s="533"/>
      <c r="G46" s="534"/>
      <c r="H46" s="207"/>
      <c r="I46" s="181"/>
      <c r="J46" s="181"/>
      <c r="K46" s="130"/>
      <c r="L46" s="181"/>
      <c r="M46" s="181"/>
      <c r="N46" s="130"/>
      <c r="O46" s="205"/>
      <c r="P46" s="38"/>
      <c r="Q46" s="38"/>
      <c r="R46" s="207"/>
      <c r="S46" s="181"/>
      <c r="T46" s="181"/>
      <c r="U46" s="130"/>
      <c r="V46" s="36"/>
      <c r="W46" s="255"/>
      <c r="X46" s="130"/>
      <c r="Y46" s="209"/>
      <c r="Z46" s="207"/>
      <c r="AA46" s="181"/>
      <c r="AB46" s="181"/>
      <c r="AC46" s="130"/>
      <c r="AD46" s="181"/>
      <c r="AE46" s="255"/>
      <c r="AF46" s="130"/>
      <c r="AG46" s="209"/>
    </row>
    <row r="47" spans="1:33" x14ac:dyDescent="0.25">
      <c r="A47" s="60"/>
      <c r="B47" s="266"/>
      <c r="C47" s="532"/>
      <c r="D47" s="533"/>
      <c r="E47" s="533"/>
      <c r="F47" s="533"/>
      <c r="G47" s="534"/>
      <c r="H47" s="207"/>
      <c r="I47" s="181"/>
      <c r="J47" s="181"/>
      <c r="K47" s="130"/>
      <c r="L47" s="181"/>
      <c r="M47" s="181"/>
      <c r="N47" s="130"/>
      <c r="O47" s="205"/>
      <c r="P47" s="38"/>
      <c r="Q47" s="38"/>
      <c r="R47" s="207"/>
      <c r="S47" s="181"/>
      <c r="T47" s="181"/>
      <c r="U47" s="130"/>
      <c r="V47" s="36"/>
      <c r="W47" s="255"/>
      <c r="X47" s="130"/>
      <c r="Y47" s="209"/>
      <c r="Z47" s="207"/>
      <c r="AA47" s="181"/>
      <c r="AB47" s="181"/>
      <c r="AC47" s="130"/>
      <c r="AD47" s="181"/>
      <c r="AE47" s="255"/>
      <c r="AF47" s="130"/>
      <c r="AG47" s="209"/>
    </row>
    <row r="48" spans="1:33" ht="16.5" thickBot="1" x14ac:dyDescent="0.3">
      <c r="A48" s="61"/>
      <c r="B48" s="267"/>
      <c r="C48" s="529"/>
      <c r="D48" s="530"/>
      <c r="E48" s="530"/>
      <c r="F48" s="530"/>
      <c r="G48" s="531"/>
      <c r="H48" s="207"/>
      <c r="I48" s="181"/>
      <c r="J48" s="181"/>
      <c r="K48" s="130"/>
      <c r="L48" s="181"/>
      <c r="M48" s="181"/>
      <c r="N48" s="130"/>
      <c r="O48" s="205"/>
      <c r="P48" s="38"/>
      <c r="Q48" s="38"/>
      <c r="R48" s="207"/>
      <c r="S48" s="181"/>
      <c r="T48" s="181"/>
      <c r="U48" s="130"/>
      <c r="V48" s="36"/>
      <c r="W48" s="255"/>
      <c r="X48" s="130"/>
      <c r="Y48" s="209"/>
      <c r="Z48" s="207"/>
      <c r="AA48" s="181"/>
      <c r="AB48" s="181"/>
      <c r="AC48" s="130"/>
      <c r="AD48" s="181"/>
      <c r="AE48" s="255"/>
      <c r="AF48" s="130"/>
      <c r="AG48" s="209"/>
    </row>
    <row r="49" spans="1:35" x14ac:dyDescent="0.25">
      <c r="H49" s="207"/>
      <c r="I49" s="181"/>
      <c r="J49" s="181"/>
      <c r="K49" s="130"/>
      <c r="L49" s="181"/>
      <c r="M49" s="181"/>
      <c r="N49" s="130"/>
      <c r="O49" s="205"/>
      <c r="P49" s="38"/>
      <c r="Q49" s="38"/>
      <c r="R49" s="207"/>
      <c r="S49" s="181"/>
      <c r="T49" s="181"/>
      <c r="U49" s="130"/>
      <c r="V49" s="36"/>
      <c r="W49" s="255"/>
      <c r="X49" s="130"/>
      <c r="Y49" s="209"/>
      <c r="Z49" s="207"/>
      <c r="AA49" s="181"/>
      <c r="AB49" s="238"/>
      <c r="AC49" s="38"/>
      <c r="AD49" s="38"/>
      <c r="AE49" s="38"/>
      <c r="AF49" s="38"/>
      <c r="AG49" s="38"/>
      <c r="AH49" s="38"/>
      <c r="AI49" s="38"/>
    </row>
    <row r="50" spans="1:35" x14ac:dyDescent="0.25">
      <c r="H50" s="207"/>
      <c r="I50" s="181"/>
      <c r="J50" s="181"/>
      <c r="K50" s="130"/>
      <c r="L50" s="181"/>
      <c r="M50" s="181"/>
      <c r="N50" s="130"/>
      <c r="O50" s="205"/>
      <c r="P50" s="38"/>
      <c r="Q50" s="38"/>
      <c r="R50" s="207"/>
      <c r="S50" s="181"/>
      <c r="T50" s="181"/>
      <c r="U50" s="130"/>
      <c r="V50" s="36"/>
      <c r="W50" s="255"/>
      <c r="X50" s="130"/>
      <c r="Y50" s="209"/>
      <c r="Z50" s="207"/>
      <c r="AA50" s="181"/>
      <c r="AB50" s="38"/>
      <c r="AC50" s="38"/>
      <c r="AD50" s="38"/>
      <c r="AE50" s="38"/>
      <c r="AF50" s="38"/>
      <c r="AG50" s="38"/>
      <c r="AH50" s="38"/>
      <c r="AI50" s="38"/>
    </row>
    <row r="51" spans="1:35" x14ac:dyDescent="0.25">
      <c r="H51" s="207"/>
      <c r="I51" s="181"/>
      <c r="J51" s="181"/>
      <c r="K51" s="130"/>
      <c r="L51" s="181"/>
      <c r="M51" s="181"/>
      <c r="N51" s="130"/>
      <c r="O51" s="205"/>
      <c r="P51" s="38"/>
      <c r="Q51" s="38"/>
      <c r="R51" s="207"/>
      <c r="S51" s="181"/>
      <c r="T51" s="181"/>
      <c r="U51" s="130"/>
      <c r="V51" s="36"/>
      <c r="W51" s="255"/>
      <c r="X51" s="130"/>
      <c r="Y51" s="209"/>
      <c r="Z51" s="207"/>
      <c r="AA51" s="181"/>
      <c r="AB51" s="38"/>
      <c r="AC51" s="38"/>
      <c r="AD51" s="38"/>
      <c r="AE51" s="38"/>
      <c r="AF51" s="38"/>
      <c r="AG51" s="38"/>
      <c r="AH51" s="38"/>
      <c r="AI51" s="38"/>
    </row>
    <row r="52" spans="1:35" x14ac:dyDescent="0.25">
      <c r="H52" s="207"/>
      <c r="I52" s="181"/>
      <c r="J52" s="181"/>
      <c r="K52" s="130"/>
      <c r="L52" s="181"/>
      <c r="M52" s="181"/>
      <c r="N52" s="130"/>
      <c r="O52" s="205"/>
      <c r="P52" s="38"/>
      <c r="Q52" s="38"/>
      <c r="R52" s="207"/>
      <c r="S52" s="181"/>
      <c r="T52" s="181"/>
      <c r="U52" s="130"/>
      <c r="V52" s="36"/>
      <c r="W52" s="255"/>
      <c r="X52" s="130"/>
      <c r="Y52" s="209"/>
      <c r="Z52" s="207"/>
      <c r="AA52" s="181"/>
      <c r="AB52" s="38"/>
      <c r="AC52" s="268"/>
      <c r="AD52" s="38"/>
      <c r="AE52" s="38"/>
      <c r="AF52" s="38"/>
      <c r="AG52" s="38"/>
      <c r="AH52" s="38"/>
      <c r="AI52" s="38"/>
    </row>
    <row r="53" spans="1:35" x14ac:dyDescent="0.25">
      <c r="H53" s="207"/>
      <c r="I53" s="181"/>
      <c r="J53" s="181"/>
      <c r="K53" s="130"/>
      <c r="L53" s="181"/>
      <c r="M53" s="181"/>
      <c r="N53" s="130"/>
      <c r="O53" s="205"/>
      <c r="P53" s="38"/>
      <c r="Q53" s="38"/>
      <c r="R53" s="207"/>
      <c r="S53" s="181"/>
      <c r="T53" s="181"/>
      <c r="U53" s="130"/>
      <c r="V53" s="36"/>
      <c r="W53" s="255"/>
      <c r="X53" s="130"/>
      <c r="Y53" s="209"/>
      <c r="Z53" s="207"/>
      <c r="AA53" s="181"/>
      <c r="AB53" s="38"/>
      <c r="AC53" s="268"/>
      <c r="AD53" s="38"/>
      <c r="AE53" s="38"/>
      <c r="AF53" s="38"/>
      <c r="AG53" s="38"/>
      <c r="AH53" s="38"/>
      <c r="AI53" s="38"/>
    </row>
    <row r="54" spans="1:35" x14ac:dyDescent="0.25">
      <c r="H54" s="207"/>
      <c r="I54" s="181"/>
      <c r="J54" s="181"/>
      <c r="K54" s="130"/>
      <c r="L54" s="181"/>
      <c r="M54" s="181"/>
      <c r="N54" s="130"/>
      <c r="O54" s="205"/>
      <c r="P54" s="38"/>
      <c r="Q54" s="38"/>
      <c r="R54" s="207"/>
      <c r="S54" s="181"/>
      <c r="T54" s="181"/>
      <c r="U54" s="130"/>
      <c r="V54" s="36"/>
      <c r="W54" s="255"/>
      <c r="X54" s="130"/>
      <c r="Y54" s="209"/>
      <c r="Z54" s="207"/>
      <c r="AA54" s="181"/>
      <c r="AB54" s="38"/>
      <c r="AC54" s="38"/>
      <c r="AD54" s="38"/>
      <c r="AE54" s="38"/>
      <c r="AF54" s="38"/>
      <c r="AG54" s="38"/>
      <c r="AH54" s="38"/>
      <c r="AI54" s="38"/>
    </row>
    <row r="55" spans="1:35" x14ac:dyDescent="0.25">
      <c r="H55" s="207"/>
      <c r="I55" s="181"/>
      <c r="J55" s="181"/>
      <c r="K55" s="130"/>
      <c r="L55" s="181"/>
      <c r="M55" s="181"/>
      <c r="N55" s="130"/>
      <c r="O55" s="205"/>
      <c r="P55" s="38"/>
      <c r="Q55" s="38"/>
      <c r="R55" s="207"/>
      <c r="S55" s="181"/>
      <c r="T55" s="181"/>
      <c r="U55" s="130"/>
      <c r="V55" s="36"/>
      <c r="W55" s="255"/>
      <c r="X55" s="130"/>
      <c r="Y55" s="209"/>
      <c r="Z55" s="207"/>
      <c r="AA55" s="181"/>
      <c r="AB55" s="38"/>
      <c r="AC55" s="38"/>
      <c r="AD55" s="38"/>
      <c r="AE55" s="38"/>
      <c r="AF55" s="269"/>
      <c r="AG55" s="38"/>
      <c r="AH55" s="38"/>
      <c r="AI55" s="38"/>
    </row>
    <row r="56" spans="1:35" x14ac:dyDescent="0.25">
      <c r="H56" s="207"/>
      <c r="I56" s="181"/>
      <c r="J56" s="181"/>
      <c r="K56" s="130"/>
      <c r="L56" s="181"/>
      <c r="M56" s="181"/>
      <c r="N56" s="130"/>
      <c r="O56" s="205"/>
      <c r="P56" s="38"/>
      <c r="Q56" s="38"/>
      <c r="R56" s="207"/>
      <c r="S56" s="181"/>
      <c r="T56" s="181"/>
      <c r="U56" s="130"/>
      <c r="V56" s="36"/>
      <c r="W56" s="255"/>
      <c r="X56" s="130"/>
      <c r="Y56" s="209"/>
      <c r="Z56" s="207"/>
      <c r="AA56" s="181"/>
      <c r="AB56" s="225"/>
      <c r="AC56" s="173"/>
      <c r="AD56" s="38"/>
      <c r="AE56" s="38"/>
      <c r="AF56" s="38"/>
      <c r="AG56" s="38"/>
      <c r="AH56" s="38"/>
      <c r="AI56" s="38"/>
    </row>
    <row r="57" spans="1:35" x14ac:dyDescent="0.25">
      <c r="A57" s="181"/>
      <c r="B57" s="130"/>
      <c r="C57" s="181"/>
      <c r="D57" s="290"/>
      <c r="E57" s="181"/>
      <c r="F57" s="181"/>
      <c r="G57" s="130"/>
      <c r="H57" s="207"/>
      <c r="I57" s="181"/>
      <c r="J57" s="181"/>
      <c r="K57" s="130"/>
      <c r="L57" s="181"/>
      <c r="M57" s="181"/>
      <c r="N57" s="130"/>
      <c r="O57" s="205"/>
      <c r="P57" s="38"/>
      <c r="Q57" s="38"/>
      <c r="R57" s="207"/>
      <c r="S57" s="181"/>
      <c r="T57" s="181"/>
      <c r="U57" s="130"/>
      <c r="V57" s="36"/>
      <c r="W57" s="255"/>
      <c r="X57" s="130"/>
      <c r="Y57" s="209"/>
      <c r="Z57" s="207"/>
      <c r="AA57" s="181"/>
      <c r="AB57" s="38"/>
      <c r="AC57" s="169"/>
      <c r="AD57" s="151"/>
      <c r="AE57" s="151"/>
      <c r="AF57" s="151"/>
      <c r="AG57" s="38"/>
      <c r="AH57" s="38"/>
      <c r="AI57" s="38"/>
    </row>
    <row r="58" spans="1:35" x14ac:dyDescent="0.25">
      <c r="A58" s="181"/>
      <c r="B58" s="130"/>
      <c r="C58" s="181"/>
      <c r="D58" s="290"/>
      <c r="E58" s="181"/>
      <c r="F58" s="181"/>
      <c r="G58" s="130"/>
      <c r="H58" s="207"/>
      <c r="I58" s="181"/>
      <c r="J58" s="181"/>
      <c r="K58" s="130"/>
      <c r="L58" s="181"/>
      <c r="M58" s="181"/>
      <c r="N58" s="130"/>
      <c r="O58" s="205"/>
      <c r="P58" s="38"/>
      <c r="Q58" s="38"/>
      <c r="R58" s="207"/>
      <c r="S58" s="181"/>
      <c r="T58" s="181"/>
      <c r="U58" s="130"/>
      <c r="V58" s="36"/>
      <c r="W58" s="255"/>
      <c r="X58" s="130"/>
      <c r="Y58" s="209"/>
      <c r="Z58" s="207"/>
      <c r="AA58" s="181"/>
      <c r="AB58" s="244"/>
      <c r="AC58" s="252"/>
      <c r="AD58" s="244"/>
      <c r="AE58" s="244"/>
      <c r="AF58" s="244"/>
      <c r="AG58" s="38"/>
      <c r="AH58" s="38"/>
      <c r="AI58" s="38"/>
    </row>
    <row r="59" spans="1:35" x14ac:dyDescent="0.25">
      <c r="A59" s="181"/>
      <c r="B59" s="130"/>
      <c r="C59" s="181"/>
      <c r="D59" s="290"/>
      <c r="E59" s="181"/>
      <c r="F59" s="181"/>
      <c r="G59" s="130"/>
      <c r="H59" s="207"/>
      <c r="I59" s="181"/>
      <c r="J59" s="181"/>
      <c r="K59" s="130"/>
      <c r="L59" s="181"/>
      <c r="M59" s="181"/>
      <c r="N59" s="130"/>
      <c r="O59" s="205"/>
      <c r="P59" s="38"/>
      <c r="Q59" s="38"/>
      <c r="R59" s="207"/>
      <c r="S59" s="181"/>
      <c r="T59" s="181"/>
      <c r="U59" s="130"/>
      <c r="V59" s="36"/>
      <c r="W59" s="255"/>
      <c r="X59" s="130"/>
      <c r="Y59" s="209"/>
      <c r="Z59" s="207"/>
      <c r="AA59" s="181"/>
      <c r="AB59" s="181"/>
      <c r="AC59" s="203"/>
      <c r="AD59" s="181"/>
      <c r="AE59" s="181"/>
      <c r="AF59" s="130"/>
      <c r="AG59" s="209"/>
      <c r="AH59" s="38"/>
      <c r="AI59" s="38"/>
    </row>
    <row r="60" spans="1:35" x14ac:dyDescent="0.25">
      <c r="A60" s="181"/>
      <c r="B60" s="130"/>
      <c r="C60" s="181"/>
      <c r="D60" s="290"/>
      <c r="E60" s="181"/>
      <c r="F60" s="181"/>
      <c r="G60" s="130"/>
      <c r="H60" s="207"/>
      <c r="I60" s="181"/>
      <c r="J60" s="181"/>
      <c r="K60" s="130"/>
      <c r="L60" s="181"/>
      <c r="M60" s="181"/>
      <c r="N60" s="130"/>
      <c r="O60" s="205"/>
      <c r="P60" s="38"/>
      <c r="Q60" s="38"/>
      <c r="R60" s="207"/>
      <c r="S60" s="181"/>
      <c r="T60" s="181"/>
      <c r="U60" s="130"/>
      <c r="V60" s="36"/>
      <c r="W60" s="255"/>
      <c r="X60" s="130"/>
      <c r="Y60" s="209"/>
      <c r="Z60" s="207"/>
      <c r="AA60" s="181"/>
      <c r="AB60" s="181"/>
      <c r="AC60" s="203"/>
      <c r="AD60" s="181"/>
      <c r="AE60" s="181"/>
      <c r="AF60" s="130"/>
      <c r="AG60" s="209"/>
      <c r="AH60" s="38"/>
      <c r="AI60" s="38"/>
    </row>
    <row r="61" spans="1:35" x14ac:dyDescent="0.25">
      <c r="A61" s="181"/>
      <c r="B61" s="130"/>
      <c r="C61" s="181"/>
      <c r="D61" s="290"/>
      <c r="E61" s="181"/>
      <c r="F61" s="181"/>
      <c r="G61" s="130"/>
      <c r="H61" s="207"/>
      <c r="I61" s="181"/>
      <c r="J61" s="181"/>
      <c r="K61" s="130"/>
      <c r="L61" s="181"/>
      <c r="M61" s="181"/>
      <c r="N61" s="130"/>
      <c r="O61" s="205"/>
      <c r="P61" s="38"/>
      <c r="Q61" s="38"/>
      <c r="R61" s="207"/>
      <c r="S61" s="181"/>
      <c r="T61" s="181"/>
      <c r="U61" s="130"/>
      <c r="V61" s="36"/>
      <c r="W61" s="255"/>
      <c r="X61" s="130"/>
      <c r="Y61" s="209"/>
      <c r="Z61" s="207"/>
      <c r="AA61" s="181"/>
      <c r="AB61" s="181"/>
      <c r="AC61" s="203"/>
      <c r="AD61" s="181"/>
      <c r="AE61" s="181"/>
      <c r="AF61" s="130"/>
      <c r="AG61" s="209"/>
      <c r="AH61" s="38"/>
      <c r="AI61" s="38"/>
    </row>
    <row r="62" spans="1:35" x14ac:dyDescent="0.25">
      <c r="A62" s="181"/>
      <c r="B62" s="130"/>
      <c r="C62" s="181"/>
      <c r="D62" s="290"/>
      <c r="E62" s="181"/>
      <c r="F62" s="181"/>
      <c r="G62" s="130"/>
      <c r="H62" s="207"/>
      <c r="I62" s="181"/>
      <c r="J62" s="181"/>
      <c r="K62" s="130"/>
      <c r="L62" s="181"/>
      <c r="M62" s="181"/>
      <c r="N62" s="130"/>
      <c r="O62" s="205"/>
      <c r="P62" s="38"/>
      <c r="Q62" s="38"/>
      <c r="R62" s="207"/>
      <c r="S62" s="181"/>
      <c r="T62" s="181"/>
      <c r="U62" s="130"/>
      <c r="V62" s="36"/>
      <c r="W62" s="255"/>
      <c r="X62" s="130"/>
      <c r="Y62" s="209"/>
      <c r="Z62" s="207"/>
      <c r="AA62" s="181"/>
      <c r="AB62" s="181"/>
      <c r="AC62" s="203"/>
      <c r="AD62" s="181"/>
      <c r="AE62" s="181"/>
      <c r="AF62" s="130"/>
      <c r="AG62" s="209"/>
      <c r="AH62" s="38"/>
      <c r="AI62" s="38"/>
    </row>
    <row r="63" spans="1:35" x14ac:dyDescent="0.25">
      <c r="A63" s="181"/>
      <c r="B63" s="130"/>
      <c r="C63" s="181"/>
      <c r="D63" s="290"/>
      <c r="E63" s="181"/>
      <c r="F63" s="181"/>
      <c r="G63" s="130"/>
      <c r="H63" s="207"/>
      <c r="I63" s="181"/>
      <c r="J63" s="181"/>
      <c r="K63" s="130"/>
      <c r="L63" s="181"/>
      <c r="M63" s="181"/>
      <c r="N63" s="130"/>
      <c r="O63" s="205"/>
      <c r="P63" s="38"/>
      <c r="Q63" s="38"/>
      <c r="R63" s="207"/>
      <c r="S63" s="181"/>
      <c r="T63" s="181"/>
      <c r="U63" s="130"/>
      <c r="V63" s="36"/>
      <c r="W63" s="255"/>
      <c r="X63" s="130"/>
      <c r="Y63" s="209"/>
      <c r="Z63" s="207"/>
      <c r="AA63" s="181"/>
      <c r="AB63" s="181"/>
      <c r="AC63" s="169"/>
      <c r="AD63" s="181"/>
      <c r="AE63" s="181"/>
      <c r="AF63" s="130"/>
      <c r="AG63" s="209"/>
      <c r="AH63" s="38"/>
      <c r="AI63" s="38"/>
    </row>
    <row r="64" spans="1:35" x14ac:dyDescent="0.25">
      <c r="A64" s="181"/>
      <c r="B64" s="130"/>
      <c r="C64" s="181"/>
      <c r="D64" s="290"/>
      <c r="E64" s="181"/>
      <c r="F64" s="181"/>
      <c r="G64" s="130"/>
      <c r="H64" s="207"/>
      <c r="I64" s="181"/>
      <c r="J64" s="181"/>
      <c r="K64" s="130"/>
      <c r="L64" s="181"/>
      <c r="M64" s="181"/>
      <c r="N64" s="130"/>
      <c r="O64" s="205"/>
      <c r="P64" s="38"/>
      <c r="Q64" s="38"/>
      <c r="R64" s="207"/>
      <c r="S64" s="181"/>
      <c r="T64" s="181"/>
      <c r="U64" s="130"/>
      <c r="V64" s="36"/>
      <c r="W64" s="255"/>
      <c r="X64" s="130"/>
      <c r="Y64" s="209"/>
      <c r="Z64" s="207"/>
      <c r="AA64" s="181"/>
      <c r="AB64" s="181"/>
      <c r="AC64" s="130"/>
      <c r="AD64" s="181"/>
      <c r="AE64" s="181"/>
      <c r="AF64" s="130"/>
      <c r="AG64" s="209"/>
      <c r="AH64" s="38"/>
      <c r="AI64" s="38"/>
    </row>
    <row r="65" spans="1:35" x14ac:dyDescent="0.25">
      <c r="A65" s="181"/>
      <c r="B65" s="130"/>
      <c r="C65" s="181"/>
      <c r="D65" s="290"/>
      <c r="E65" s="181"/>
      <c r="F65" s="181"/>
      <c r="G65" s="130"/>
      <c r="H65" s="207"/>
      <c r="I65" s="181"/>
      <c r="J65" s="181"/>
      <c r="K65" s="130"/>
      <c r="L65" s="181"/>
      <c r="M65" s="181"/>
      <c r="N65" s="130"/>
      <c r="O65" s="205"/>
      <c r="P65" s="38"/>
      <c r="Q65" s="38"/>
      <c r="R65" s="207"/>
      <c r="S65" s="181"/>
      <c r="T65" s="181"/>
      <c r="U65" s="130"/>
      <c r="V65" s="36"/>
      <c r="W65" s="255"/>
      <c r="X65" s="130"/>
      <c r="Y65" s="209"/>
      <c r="Z65" s="207"/>
      <c r="AA65" s="181"/>
      <c r="AB65" s="181"/>
      <c r="AC65" s="130"/>
      <c r="AD65" s="181"/>
      <c r="AE65" s="181"/>
      <c r="AF65" s="130"/>
      <c r="AG65" s="209"/>
      <c r="AH65" s="38"/>
      <c r="AI65" s="38"/>
    </row>
    <row r="66" spans="1:35" x14ac:dyDescent="0.25">
      <c r="A66" s="181"/>
      <c r="B66" s="130"/>
      <c r="C66" s="181"/>
      <c r="D66" s="290"/>
      <c r="E66" s="181"/>
      <c r="F66" s="181"/>
      <c r="G66" s="130"/>
      <c r="H66" s="207"/>
      <c r="I66" s="181"/>
      <c r="J66" s="181"/>
      <c r="K66" s="130"/>
      <c r="L66" s="181"/>
      <c r="M66" s="181"/>
      <c r="N66" s="130"/>
      <c r="O66" s="205"/>
      <c r="P66" s="38"/>
      <c r="Q66" s="38"/>
      <c r="R66" s="207"/>
      <c r="S66" s="181"/>
      <c r="T66" s="181"/>
      <c r="U66" s="130"/>
      <c r="V66" s="36"/>
      <c r="W66" s="255"/>
      <c r="X66" s="130"/>
      <c r="Y66" s="209"/>
      <c r="Z66" s="207"/>
      <c r="AA66" s="181"/>
      <c r="AB66" s="181"/>
      <c r="AC66" s="130"/>
      <c r="AD66" s="181"/>
      <c r="AE66" s="255"/>
      <c r="AF66" s="130"/>
      <c r="AG66" s="209"/>
    </row>
    <row r="67" spans="1:35" x14ac:dyDescent="0.25">
      <c r="A67" s="181"/>
      <c r="B67" s="130"/>
      <c r="C67" s="181"/>
      <c r="D67" s="290"/>
      <c r="E67" s="181"/>
      <c r="F67" s="181"/>
      <c r="G67" s="130"/>
      <c r="H67" s="207"/>
      <c r="I67" s="181"/>
      <c r="J67" s="181"/>
      <c r="K67" s="130"/>
      <c r="L67" s="181"/>
      <c r="M67" s="181"/>
      <c r="N67" s="130"/>
      <c r="O67" s="205"/>
      <c r="P67" s="38"/>
      <c r="Q67" s="38"/>
      <c r="R67" s="207"/>
      <c r="S67" s="181"/>
      <c r="T67" s="181"/>
      <c r="U67" s="130"/>
      <c r="V67" s="36"/>
      <c r="W67" s="255"/>
      <c r="X67" s="130"/>
      <c r="Y67" s="209"/>
      <c r="Z67" s="207"/>
      <c r="AA67" s="181"/>
      <c r="AB67" s="181"/>
      <c r="AC67" s="130"/>
      <c r="AD67" s="181"/>
      <c r="AE67" s="255"/>
      <c r="AF67" s="130"/>
      <c r="AG67" s="209"/>
    </row>
    <row r="68" spans="1:35" x14ac:dyDescent="0.25">
      <c r="A68" s="181"/>
      <c r="B68" s="130"/>
      <c r="C68" s="181"/>
      <c r="D68" s="290"/>
      <c r="E68" s="181"/>
      <c r="F68" s="181"/>
      <c r="G68" s="130"/>
      <c r="H68" s="207"/>
      <c r="I68" s="181"/>
      <c r="J68" s="181"/>
      <c r="K68" s="130"/>
      <c r="L68" s="181"/>
      <c r="M68" s="181"/>
      <c r="N68" s="130"/>
      <c r="O68" s="205"/>
      <c r="P68" s="38"/>
      <c r="Q68" s="38"/>
      <c r="R68" s="207"/>
      <c r="S68" s="181"/>
      <c r="T68" s="181"/>
      <c r="U68" s="130"/>
      <c r="V68" s="36"/>
      <c r="W68" s="255"/>
      <c r="X68" s="130"/>
      <c r="Y68" s="209"/>
      <c r="Z68" s="207"/>
      <c r="AA68" s="181"/>
      <c r="AB68" s="181"/>
      <c r="AC68" s="130"/>
      <c r="AD68" s="181"/>
      <c r="AE68" s="255"/>
      <c r="AF68" s="130"/>
      <c r="AG68" s="209"/>
    </row>
    <row r="69" spans="1:35" x14ac:dyDescent="0.25">
      <c r="A69" s="181"/>
      <c r="B69" s="130"/>
      <c r="C69" s="181"/>
      <c r="D69" s="290"/>
      <c r="E69" s="181"/>
      <c r="F69" s="181"/>
      <c r="G69" s="130"/>
      <c r="H69" s="207"/>
      <c r="I69" s="181"/>
      <c r="J69" s="181"/>
      <c r="K69" s="130"/>
      <c r="L69" s="181"/>
      <c r="M69" s="181"/>
      <c r="N69" s="130"/>
      <c r="O69" s="205"/>
      <c r="P69" s="38"/>
      <c r="Q69" s="38"/>
      <c r="R69" s="207"/>
      <c r="S69" s="181"/>
      <c r="T69" s="181"/>
      <c r="U69" s="130"/>
      <c r="V69" s="36"/>
      <c r="W69" s="255"/>
      <c r="X69" s="130"/>
      <c r="Y69" s="209"/>
      <c r="Z69" s="207"/>
      <c r="AA69" s="181"/>
      <c r="AB69" s="181"/>
      <c r="AC69" s="130"/>
      <c r="AD69" s="181"/>
      <c r="AE69" s="255"/>
      <c r="AF69" s="130"/>
      <c r="AG69" s="209"/>
    </row>
    <row r="70" spans="1:35" x14ac:dyDescent="0.25">
      <c r="A70" s="181"/>
      <c r="B70" s="130"/>
      <c r="C70" s="181"/>
      <c r="D70" s="290"/>
      <c r="E70" s="181"/>
      <c r="F70" s="181"/>
      <c r="G70" s="130"/>
      <c r="H70" s="207"/>
      <c r="I70" s="181"/>
      <c r="J70" s="181"/>
      <c r="K70" s="130"/>
      <c r="L70" s="181"/>
      <c r="M70" s="181"/>
      <c r="N70" s="130"/>
      <c r="O70" s="205"/>
      <c r="P70" s="38"/>
      <c r="Q70" s="38"/>
      <c r="R70" s="207"/>
      <c r="S70" s="181"/>
      <c r="T70" s="181"/>
      <c r="U70" s="130"/>
      <c r="V70" s="36"/>
      <c r="W70" s="255"/>
      <c r="X70" s="130"/>
      <c r="Y70" s="209"/>
      <c r="Z70" s="207"/>
      <c r="AA70" s="181"/>
      <c r="AB70" s="181"/>
      <c r="AC70" s="130"/>
      <c r="AD70" s="181"/>
      <c r="AE70" s="255"/>
      <c r="AF70" s="130"/>
      <c r="AG70" s="209"/>
    </row>
    <row r="71" spans="1:35" x14ac:dyDescent="0.25">
      <c r="A71" s="181"/>
      <c r="B71" s="130"/>
      <c r="C71" s="181"/>
      <c r="D71" s="290"/>
      <c r="E71" s="181"/>
      <c r="F71" s="181"/>
      <c r="G71" s="130"/>
      <c r="H71" s="207"/>
      <c r="I71" s="181"/>
      <c r="J71" s="181"/>
      <c r="K71" s="130"/>
      <c r="L71" s="181"/>
      <c r="M71" s="181"/>
      <c r="N71" s="130"/>
      <c r="O71" s="205"/>
      <c r="P71" s="38"/>
      <c r="Q71" s="38"/>
      <c r="R71" s="207"/>
      <c r="S71" s="181"/>
      <c r="T71" s="181"/>
      <c r="U71" s="130"/>
      <c r="V71" s="36"/>
      <c r="W71" s="255"/>
      <c r="X71" s="130"/>
      <c r="Y71" s="209"/>
      <c r="Z71" s="207"/>
      <c r="AA71" s="181"/>
      <c r="AB71" s="181"/>
      <c r="AC71" s="130"/>
      <c r="AD71" s="181"/>
      <c r="AE71" s="255"/>
      <c r="AF71" s="130"/>
      <c r="AG71" s="209"/>
    </row>
    <row r="72" spans="1:35" x14ac:dyDescent="0.25">
      <c r="A72" s="181"/>
      <c r="B72" s="130"/>
      <c r="C72" s="181"/>
      <c r="D72" s="290"/>
      <c r="E72" s="181"/>
      <c r="F72" s="181"/>
      <c r="G72" s="130"/>
      <c r="H72" s="207"/>
      <c r="I72" s="181"/>
      <c r="J72" s="181"/>
      <c r="K72" s="130"/>
      <c r="L72" s="181"/>
      <c r="M72" s="181"/>
      <c r="N72" s="130"/>
      <c r="O72" s="205"/>
      <c r="P72" s="38"/>
      <c r="Q72" s="38"/>
      <c r="R72" s="207"/>
      <c r="S72" s="181"/>
      <c r="T72" s="181"/>
      <c r="U72" s="130"/>
      <c r="V72" s="36"/>
      <c r="W72" s="255"/>
      <c r="X72" s="130"/>
      <c r="Y72" s="209"/>
      <c r="Z72" s="207"/>
      <c r="AA72" s="181"/>
      <c r="AB72" s="181"/>
      <c r="AC72" s="130"/>
      <c r="AD72" s="181"/>
      <c r="AE72" s="255"/>
      <c r="AF72" s="130"/>
      <c r="AG72" s="209"/>
    </row>
    <row r="73" spans="1:35" x14ac:dyDescent="0.25">
      <c r="A73" s="181"/>
      <c r="B73" s="130"/>
      <c r="C73" s="181"/>
      <c r="D73" s="290"/>
      <c r="E73" s="181"/>
      <c r="F73" s="181"/>
      <c r="G73" s="130"/>
      <c r="H73" s="207"/>
      <c r="I73" s="181"/>
      <c r="J73" s="181"/>
      <c r="K73" s="130"/>
      <c r="L73" s="181"/>
      <c r="M73" s="181"/>
      <c r="N73" s="130"/>
      <c r="O73" s="205"/>
      <c r="P73" s="38"/>
      <c r="Q73" s="38"/>
      <c r="R73" s="207"/>
      <c r="S73" s="181"/>
      <c r="T73" s="181"/>
      <c r="U73" s="130"/>
      <c r="V73" s="36"/>
      <c r="W73" s="255"/>
      <c r="X73" s="130"/>
      <c r="Y73" s="209"/>
      <c r="Z73" s="207"/>
      <c r="AA73" s="181"/>
      <c r="AB73" s="181"/>
      <c r="AC73" s="130"/>
      <c r="AD73" s="181"/>
      <c r="AE73" s="255"/>
      <c r="AF73" s="130"/>
      <c r="AG73" s="209"/>
    </row>
    <row r="74" spans="1:35" x14ac:dyDescent="0.25">
      <c r="A74" s="181"/>
      <c r="B74" s="130"/>
      <c r="C74" s="181"/>
      <c r="D74" s="290"/>
      <c r="E74" s="181"/>
      <c r="F74" s="181"/>
      <c r="G74" s="130"/>
      <c r="H74" s="207"/>
      <c r="I74" s="181"/>
      <c r="J74" s="181"/>
      <c r="K74" s="130"/>
      <c r="L74" s="181"/>
      <c r="M74" s="181"/>
      <c r="N74" s="130"/>
      <c r="O74" s="205"/>
      <c r="P74" s="38"/>
      <c r="Q74" s="38"/>
      <c r="R74" s="207"/>
      <c r="S74" s="181"/>
      <c r="T74" s="181"/>
      <c r="U74" s="130"/>
      <c r="V74" s="36"/>
      <c r="W74" s="255"/>
      <c r="X74" s="130"/>
      <c r="Y74" s="209"/>
      <c r="Z74" s="207"/>
      <c r="AA74" s="181"/>
      <c r="AB74" s="181"/>
      <c r="AC74" s="130"/>
      <c r="AD74" s="181"/>
      <c r="AE74" s="255"/>
      <c r="AF74" s="130"/>
      <c r="AG74" s="209"/>
    </row>
    <row r="75" spans="1:35" x14ac:dyDescent="0.25">
      <c r="A75" s="181"/>
      <c r="B75" s="130"/>
      <c r="C75" s="181"/>
      <c r="D75" s="290"/>
      <c r="E75" s="181"/>
      <c r="F75" s="181"/>
      <c r="G75" s="130"/>
      <c r="H75" s="207"/>
      <c r="I75" s="181"/>
      <c r="J75" s="181"/>
      <c r="K75" s="130"/>
      <c r="L75" s="181"/>
      <c r="M75" s="181"/>
      <c r="N75" s="130"/>
      <c r="O75" s="205"/>
      <c r="P75" s="38"/>
      <c r="Q75" s="38"/>
      <c r="R75" s="207"/>
      <c r="S75" s="181"/>
      <c r="T75" s="181"/>
      <c r="U75" s="130"/>
      <c r="V75" s="36"/>
      <c r="W75" s="255"/>
      <c r="X75" s="130"/>
      <c r="Y75" s="209"/>
      <c r="Z75" s="207"/>
      <c r="AA75" s="181"/>
      <c r="AB75" s="181"/>
      <c r="AC75" s="130"/>
      <c r="AD75" s="181"/>
      <c r="AE75" s="255"/>
      <c r="AF75" s="130"/>
      <c r="AG75" s="209"/>
    </row>
    <row r="76" spans="1:35" x14ac:dyDescent="0.25">
      <c r="A76" s="181"/>
      <c r="B76" s="130"/>
      <c r="C76" s="181"/>
      <c r="D76" s="290"/>
      <c r="E76" s="181"/>
      <c r="F76" s="181"/>
      <c r="G76" s="130"/>
      <c r="H76" s="207"/>
      <c r="I76" s="181"/>
      <c r="J76" s="181"/>
      <c r="K76" s="130"/>
      <c r="L76" s="181"/>
      <c r="M76" s="181"/>
      <c r="N76" s="130"/>
      <c r="O76" s="205"/>
      <c r="P76" s="38"/>
      <c r="Q76" s="38"/>
      <c r="R76" s="207"/>
      <c r="S76" s="181"/>
      <c r="T76" s="181"/>
      <c r="U76" s="130"/>
      <c r="V76" s="36"/>
      <c r="W76" s="255"/>
      <c r="X76" s="130"/>
      <c r="Y76" s="209"/>
      <c r="Z76" s="207"/>
      <c r="AA76" s="181"/>
      <c r="AB76" s="181"/>
      <c r="AC76" s="130"/>
      <c r="AD76" s="181"/>
      <c r="AE76" s="255"/>
      <c r="AF76" s="130"/>
      <c r="AG76" s="209"/>
    </row>
    <row r="77" spans="1:35" x14ac:dyDescent="0.25">
      <c r="A77" s="181"/>
      <c r="B77" s="130"/>
      <c r="C77" s="181"/>
      <c r="D77" s="290"/>
      <c r="E77" s="181"/>
      <c r="F77" s="181"/>
      <c r="G77" s="130"/>
      <c r="H77" s="207"/>
      <c r="I77" s="181"/>
      <c r="J77" s="181"/>
      <c r="K77" s="130"/>
      <c r="L77" s="181"/>
      <c r="M77" s="181"/>
      <c r="N77" s="130"/>
      <c r="O77" s="205"/>
      <c r="P77" s="38"/>
      <c r="Q77" s="38"/>
      <c r="R77" s="207"/>
      <c r="S77" s="181"/>
      <c r="T77" s="181"/>
      <c r="U77" s="130"/>
      <c r="V77" s="36"/>
      <c r="W77" s="270"/>
      <c r="X77" s="130"/>
      <c r="Y77" s="209"/>
      <c r="Z77" s="207"/>
      <c r="AA77" s="181"/>
      <c r="AB77" s="181"/>
      <c r="AC77" s="130"/>
      <c r="AD77" s="181"/>
      <c r="AE77" s="255"/>
      <c r="AF77" s="130"/>
      <c r="AG77" s="209"/>
    </row>
    <row r="78" spans="1:35" x14ac:dyDescent="0.25">
      <c r="A78" s="181"/>
      <c r="B78" s="130"/>
      <c r="C78" s="181"/>
      <c r="D78" s="290"/>
      <c r="E78" s="181"/>
      <c r="F78" s="181"/>
      <c r="G78" s="130"/>
      <c r="H78" s="207"/>
      <c r="I78" s="181"/>
      <c r="J78" s="181"/>
      <c r="K78" s="130"/>
      <c r="L78" s="181"/>
      <c r="M78" s="181"/>
      <c r="N78" s="130"/>
      <c r="O78" s="205"/>
      <c r="P78" s="38"/>
      <c r="Q78" s="38"/>
      <c r="R78" s="207"/>
      <c r="S78" s="181"/>
      <c r="T78" s="181"/>
      <c r="U78" s="130"/>
      <c r="V78" s="36"/>
      <c r="W78" s="255"/>
      <c r="X78" s="130"/>
      <c r="Y78" s="209"/>
      <c r="Z78" s="207"/>
      <c r="AA78" s="181"/>
      <c r="AB78" s="181"/>
      <c r="AC78" s="130"/>
      <c r="AD78" s="181"/>
      <c r="AE78" s="255"/>
      <c r="AF78" s="130"/>
      <c r="AG78" s="209"/>
    </row>
    <row r="79" spans="1:35" x14ac:dyDescent="0.25">
      <c r="A79" s="181"/>
      <c r="B79" s="130"/>
      <c r="C79" s="181"/>
      <c r="D79" s="290"/>
      <c r="E79" s="181"/>
      <c r="F79" s="181"/>
      <c r="G79" s="130"/>
      <c r="H79" s="207"/>
      <c r="I79" s="181"/>
      <c r="J79" s="181"/>
      <c r="K79" s="130"/>
      <c r="L79" s="181"/>
      <c r="M79" s="181"/>
      <c r="N79" s="130"/>
      <c r="O79" s="205"/>
      <c r="P79" s="38"/>
      <c r="Q79" s="38"/>
      <c r="R79" s="207"/>
      <c r="S79" s="181"/>
      <c r="T79" s="181"/>
      <c r="U79" s="130"/>
      <c r="V79" s="36"/>
      <c r="W79" s="255"/>
      <c r="X79" s="130"/>
      <c r="Y79" s="209"/>
      <c r="Z79" s="207"/>
      <c r="AA79" s="181"/>
      <c r="AB79" s="181"/>
      <c r="AC79" s="130"/>
      <c r="AD79" s="181"/>
      <c r="AE79" s="255"/>
      <c r="AF79" s="130"/>
      <c r="AG79" s="209"/>
    </row>
    <row r="80" spans="1:35" x14ac:dyDescent="0.25">
      <c r="A80" s="181"/>
      <c r="B80" s="130"/>
      <c r="C80" s="181"/>
      <c r="D80" s="290"/>
      <c r="E80" s="181"/>
      <c r="F80" s="181"/>
      <c r="G80" s="130"/>
      <c r="H80" s="207"/>
      <c r="I80" s="181"/>
      <c r="J80" s="181"/>
      <c r="K80" s="130"/>
      <c r="L80" s="181"/>
      <c r="M80" s="181"/>
      <c r="N80" s="130"/>
      <c r="O80" s="205"/>
      <c r="P80" s="38"/>
      <c r="Q80" s="38"/>
      <c r="R80" s="207"/>
      <c r="S80" s="181"/>
      <c r="T80" s="181"/>
      <c r="U80" s="130"/>
      <c r="V80" s="36"/>
      <c r="W80" s="255"/>
      <c r="X80" s="130"/>
      <c r="Y80" s="209"/>
      <c r="Z80" s="207"/>
      <c r="AA80" s="181"/>
      <c r="AB80" s="181"/>
      <c r="AC80" s="130"/>
      <c r="AD80" s="181"/>
      <c r="AE80" s="255"/>
      <c r="AF80" s="130"/>
      <c r="AG80" s="209"/>
    </row>
    <row r="81" spans="1:33" x14ac:dyDescent="0.25">
      <c r="A81" s="181"/>
      <c r="B81" s="130"/>
      <c r="C81" s="181"/>
      <c r="D81" s="290"/>
      <c r="E81" s="181"/>
      <c r="F81" s="181"/>
      <c r="G81" s="130"/>
      <c r="H81" s="207"/>
      <c r="I81" s="181"/>
      <c r="J81" s="181"/>
      <c r="K81" s="130"/>
      <c r="L81" s="181"/>
      <c r="M81" s="181"/>
      <c r="N81" s="130"/>
      <c r="O81" s="205"/>
      <c r="P81" s="38"/>
      <c r="Q81" s="38"/>
      <c r="R81" s="207"/>
      <c r="S81" s="181"/>
      <c r="T81" s="181"/>
      <c r="U81" s="130"/>
      <c r="V81" s="36"/>
      <c r="W81" s="255"/>
      <c r="X81" s="130"/>
      <c r="Y81" s="209"/>
      <c r="Z81" s="207"/>
      <c r="AA81" s="181"/>
      <c r="AB81" s="181"/>
      <c r="AC81" s="130"/>
      <c r="AD81" s="181"/>
      <c r="AE81" s="255"/>
      <c r="AF81" s="130"/>
      <c r="AG81" s="209"/>
    </row>
    <row r="82" spans="1:33" x14ac:dyDescent="0.25">
      <c r="A82" s="181"/>
      <c r="B82" s="130"/>
      <c r="C82" s="181"/>
      <c r="D82" s="290"/>
      <c r="E82" s="181"/>
      <c r="F82" s="181"/>
      <c r="G82" s="130"/>
      <c r="H82" s="207"/>
      <c r="I82" s="181"/>
      <c r="J82" s="181"/>
      <c r="K82" s="130"/>
      <c r="L82" s="181"/>
      <c r="M82" s="181"/>
      <c r="N82" s="130"/>
      <c r="O82" s="205"/>
      <c r="P82" s="38"/>
      <c r="Q82" s="38"/>
      <c r="R82" s="207"/>
      <c r="S82" s="181"/>
      <c r="T82" s="181"/>
      <c r="U82" s="130"/>
      <c r="V82" s="36"/>
      <c r="W82" s="255"/>
      <c r="X82" s="130"/>
      <c r="Y82" s="209"/>
      <c r="Z82" s="207"/>
      <c r="AA82" s="181"/>
      <c r="AB82" s="181"/>
      <c r="AC82" s="130"/>
      <c r="AD82" s="181"/>
      <c r="AE82" s="255"/>
      <c r="AF82" s="130"/>
      <c r="AG82" s="209"/>
    </row>
    <row r="83" spans="1:33" x14ac:dyDescent="0.25">
      <c r="A83" s="181"/>
      <c r="B83" s="130"/>
      <c r="C83" s="181"/>
      <c r="D83" s="290"/>
      <c r="E83" s="181"/>
      <c r="F83" s="181"/>
      <c r="G83" s="130"/>
      <c r="H83" s="207"/>
      <c r="I83" s="181"/>
      <c r="J83" s="181"/>
      <c r="K83" s="130"/>
      <c r="L83" s="181"/>
      <c r="M83" s="181"/>
      <c r="N83" s="130"/>
      <c r="O83" s="205"/>
      <c r="P83" s="38"/>
      <c r="Q83" s="38"/>
      <c r="R83" s="207"/>
      <c r="S83" s="181"/>
      <c r="T83" s="181"/>
      <c r="U83" s="130"/>
      <c r="V83" s="36"/>
      <c r="W83" s="255"/>
      <c r="X83" s="130"/>
      <c r="Y83" s="209"/>
      <c r="Z83" s="207"/>
      <c r="AA83" s="181"/>
      <c r="AB83" s="181"/>
      <c r="AC83" s="130"/>
      <c r="AD83" s="181"/>
      <c r="AE83" s="255"/>
      <c r="AF83" s="130"/>
      <c r="AG83" s="209"/>
    </row>
    <row r="84" spans="1:33" x14ac:dyDescent="0.25">
      <c r="A84" s="181"/>
      <c r="B84" s="130"/>
      <c r="C84" s="181"/>
      <c r="D84" s="290"/>
      <c r="E84" s="181"/>
      <c r="F84" s="181"/>
      <c r="G84" s="130"/>
      <c r="H84" s="207"/>
      <c r="I84" s="181"/>
      <c r="J84" s="181"/>
      <c r="K84" s="130"/>
      <c r="L84" s="181"/>
      <c r="M84" s="181"/>
      <c r="N84" s="130"/>
      <c r="O84" s="205"/>
      <c r="P84" s="38"/>
      <c r="Q84" s="38"/>
      <c r="R84" s="207"/>
      <c r="S84" s="181"/>
      <c r="T84" s="181"/>
      <c r="U84" s="130"/>
      <c r="V84" s="36"/>
      <c r="W84" s="270"/>
      <c r="X84" s="130"/>
      <c r="Y84" s="209"/>
      <c r="Z84" s="207"/>
      <c r="AA84" s="181"/>
      <c r="AB84" s="181"/>
      <c r="AC84" s="130"/>
      <c r="AD84" s="181"/>
      <c r="AE84" s="255"/>
      <c r="AF84" s="130"/>
      <c r="AG84" s="209"/>
    </row>
    <row r="85" spans="1:33" x14ac:dyDescent="0.25">
      <c r="A85" s="181"/>
      <c r="B85" s="130"/>
      <c r="C85" s="181"/>
      <c r="D85" s="290"/>
      <c r="E85" s="181"/>
      <c r="F85" s="181"/>
      <c r="G85" s="130"/>
      <c r="H85" s="207"/>
      <c r="I85" s="181"/>
      <c r="J85" s="181"/>
      <c r="K85" s="130"/>
      <c r="L85" s="181"/>
      <c r="M85" s="181"/>
      <c r="N85" s="130"/>
      <c r="O85" s="205"/>
      <c r="P85" s="38"/>
      <c r="Q85" s="38"/>
      <c r="R85" s="207"/>
      <c r="S85" s="181"/>
      <c r="T85" s="181"/>
      <c r="U85" s="130"/>
      <c r="V85" s="36"/>
      <c r="W85" s="270"/>
      <c r="X85" s="130"/>
      <c r="Y85" s="209"/>
      <c r="Z85" s="207"/>
      <c r="AA85" s="181"/>
      <c r="AB85" s="181"/>
      <c r="AC85" s="130"/>
      <c r="AD85" s="181"/>
      <c r="AE85" s="255"/>
      <c r="AF85" s="130"/>
      <c r="AG85" s="209"/>
    </row>
    <row r="86" spans="1:33" x14ac:dyDescent="0.25">
      <c r="A86" s="181"/>
      <c r="B86" s="130"/>
      <c r="C86" s="181"/>
      <c r="D86" s="290"/>
      <c r="E86" s="181"/>
      <c r="F86" s="181"/>
      <c r="G86" s="130"/>
      <c r="H86" s="38"/>
      <c r="I86" s="181"/>
      <c r="J86" s="181"/>
      <c r="K86" s="130"/>
      <c r="L86" s="181"/>
      <c r="M86" s="181"/>
      <c r="N86" s="130"/>
      <c r="O86" s="205"/>
      <c r="P86" s="38"/>
      <c r="Q86" s="38"/>
      <c r="R86" s="207"/>
      <c r="S86" s="181"/>
      <c r="T86" s="181"/>
      <c r="U86" s="130"/>
      <c r="V86" s="36"/>
      <c r="W86" s="255"/>
      <c r="X86" s="130"/>
      <c r="Y86" s="209"/>
      <c r="Z86" s="207"/>
      <c r="AA86" s="181"/>
      <c r="AB86" s="181"/>
      <c r="AC86" s="130"/>
      <c r="AD86" s="181"/>
      <c r="AE86" s="255"/>
      <c r="AF86" s="130"/>
      <c r="AG86" s="209"/>
    </row>
    <row r="87" spans="1:33" x14ac:dyDescent="0.25">
      <c r="A87" s="181"/>
      <c r="B87" s="130"/>
      <c r="C87" s="181"/>
      <c r="D87" s="290"/>
      <c r="E87" s="181"/>
      <c r="F87" s="181"/>
      <c r="G87" s="130"/>
      <c r="H87" s="38"/>
      <c r="I87" s="38"/>
      <c r="J87" s="181"/>
      <c r="K87" s="130"/>
      <c r="L87" s="181"/>
      <c r="M87" s="181"/>
      <c r="N87" s="130"/>
      <c r="O87" s="205"/>
      <c r="P87" s="38"/>
      <c r="Q87" s="38"/>
      <c r="R87" s="207"/>
      <c r="S87" s="181"/>
      <c r="T87" s="181"/>
      <c r="U87" s="130"/>
      <c r="V87" s="36"/>
      <c r="W87" s="181"/>
      <c r="X87" s="130"/>
      <c r="Y87" s="209"/>
      <c r="Z87" s="207"/>
      <c r="AA87" s="181"/>
      <c r="AB87" s="181"/>
      <c r="AC87" s="130"/>
      <c r="AD87" s="181"/>
      <c r="AE87" s="181"/>
      <c r="AF87" s="130"/>
      <c r="AG87" s="209"/>
    </row>
    <row r="88" spans="1:33" x14ac:dyDescent="0.25">
      <c r="A88" s="181"/>
      <c r="B88" s="130"/>
      <c r="C88" s="181"/>
      <c r="D88" s="290"/>
      <c r="E88" s="181"/>
      <c r="F88" s="181"/>
      <c r="G88" s="130"/>
      <c r="H88" s="38"/>
      <c r="I88" s="38"/>
      <c r="J88" s="181"/>
      <c r="K88" s="130"/>
      <c r="L88" s="181"/>
      <c r="M88" s="181"/>
      <c r="N88" s="130"/>
      <c r="O88" s="205"/>
      <c r="P88" s="38"/>
      <c r="Q88" s="38"/>
      <c r="R88" s="207"/>
      <c r="S88" s="181"/>
      <c r="T88" s="181"/>
      <c r="U88" s="130"/>
      <c r="V88" s="36"/>
      <c r="W88" s="181"/>
      <c r="X88" s="130"/>
      <c r="Y88" s="209"/>
      <c r="Z88" s="207"/>
      <c r="AA88" s="181"/>
      <c r="AB88" s="181"/>
      <c r="AC88" s="130"/>
      <c r="AD88" s="181"/>
      <c r="AE88" s="270"/>
      <c r="AF88" s="130"/>
      <c r="AG88" s="209"/>
    </row>
    <row r="89" spans="1:33" x14ac:dyDescent="0.25">
      <c r="A89" s="181"/>
      <c r="B89" s="130"/>
      <c r="C89" s="181"/>
      <c r="D89" s="290"/>
      <c r="E89" s="181"/>
      <c r="F89" s="181"/>
      <c r="G89" s="130"/>
      <c r="H89" s="38"/>
      <c r="I89" s="38"/>
      <c r="J89" s="38"/>
      <c r="K89" s="271"/>
      <c r="L89" s="38"/>
      <c r="M89" s="38"/>
      <c r="N89" s="38"/>
      <c r="O89" s="205"/>
      <c r="P89" s="38"/>
      <c r="Q89" s="38"/>
      <c r="R89" s="38"/>
      <c r="S89" s="38"/>
      <c r="T89" s="38"/>
      <c r="U89" s="271"/>
      <c r="V89" s="271"/>
      <c r="W89" s="38"/>
      <c r="X89" s="38"/>
      <c r="Y89" s="38"/>
      <c r="Z89" s="38"/>
      <c r="AA89" s="38"/>
      <c r="AB89" s="38"/>
      <c r="AC89" s="271"/>
      <c r="AD89" s="271"/>
      <c r="AE89" s="38"/>
      <c r="AF89" s="38"/>
      <c r="AG89" s="209"/>
    </row>
    <row r="90" spans="1:33" x14ac:dyDescent="0.25">
      <c r="A90" s="181"/>
      <c r="B90" s="130"/>
      <c r="C90" s="181"/>
      <c r="D90" s="290"/>
      <c r="E90" s="181"/>
      <c r="F90" s="181"/>
      <c r="G90" s="130"/>
      <c r="H90" s="38"/>
      <c r="I90" s="38"/>
      <c r="J90" s="38"/>
      <c r="K90" s="38"/>
      <c r="L90" s="38"/>
      <c r="M90" s="38"/>
      <c r="N90" s="38"/>
      <c r="O90" s="205"/>
      <c r="P90" s="38"/>
      <c r="Q90" s="38"/>
      <c r="R90" s="38"/>
      <c r="S90" s="38"/>
      <c r="T90" s="38"/>
      <c r="U90" s="38"/>
      <c r="V90" s="38"/>
      <c r="W90" s="38"/>
      <c r="X90" s="38"/>
      <c r="Y90" s="38"/>
      <c r="Z90" s="38"/>
      <c r="AA90" s="38"/>
      <c r="AB90" s="38"/>
      <c r="AC90" s="38"/>
      <c r="AD90" s="38"/>
      <c r="AE90" s="38"/>
      <c r="AF90" s="38"/>
      <c r="AG90" s="38"/>
    </row>
    <row r="91" spans="1:33" x14ac:dyDescent="0.25">
      <c r="A91" s="38"/>
      <c r="B91" s="271"/>
      <c r="C91" s="38"/>
      <c r="D91" s="268"/>
      <c r="E91" s="38"/>
      <c r="F91" s="38"/>
      <c r="G91" s="38"/>
      <c r="H91" s="38"/>
      <c r="I91" s="38"/>
      <c r="J91" s="38"/>
      <c r="K91" s="38"/>
      <c r="L91" s="38"/>
      <c r="M91" s="38"/>
      <c r="N91" s="38"/>
      <c r="O91" s="205"/>
      <c r="P91" s="38"/>
      <c r="Q91" s="38"/>
      <c r="R91" s="38"/>
      <c r="S91" s="38"/>
      <c r="T91" s="38"/>
      <c r="U91" s="38"/>
      <c r="V91" s="38"/>
      <c r="W91" s="38"/>
      <c r="X91" s="38"/>
      <c r="Y91" s="38"/>
      <c r="Z91" s="38"/>
      <c r="AA91" s="38"/>
      <c r="AB91" s="38"/>
      <c r="AC91" s="38"/>
      <c r="AD91" s="38"/>
      <c r="AE91" s="38"/>
      <c r="AF91" s="38"/>
      <c r="AG91" s="38"/>
    </row>
    <row r="92" spans="1:33" x14ac:dyDescent="0.25">
      <c r="A92" s="38"/>
      <c r="B92" s="38"/>
      <c r="C92" s="38"/>
      <c r="D92" s="268"/>
      <c r="E92" s="38"/>
      <c r="F92" s="38"/>
      <c r="G92" s="38"/>
      <c r="H92" s="238"/>
      <c r="I92" s="38"/>
      <c r="J92" s="38"/>
      <c r="K92" s="38"/>
      <c r="L92" s="38"/>
      <c r="M92" s="38"/>
      <c r="N92" s="38"/>
      <c r="O92" s="205"/>
      <c r="P92" s="38"/>
      <c r="Q92" s="38"/>
      <c r="R92" s="38"/>
      <c r="S92" s="38"/>
      <c r="T92" s="38"/>
      <c r="U92" s="38"/>
      <c r="V92" s="38"/>
      <c r="W92" s="38"/>
      <c r="X92" s="38"/>
      <c r="Y92" s="38"/>
      <c r="Z92" s="38"/>
      <c r="AA92" s="38"/>
      <c r="AB92" s="38"/>
      <c r="AC92" s="38"/>
      <c r="AD92" s="38"/>
      <c r="AE92" s="38"/>
      <c r="AF92" s="38"/>
      <c r="AG92" s="38"/>
    </row>
    <row r="93" spans="1:33" x14ac:dyDescent="0.25">
      <c r="A93" s="38"/>
      <c r="B93" s="217"/>
      <c r="C93" s="38"/>
      <c r="D93" s="268"/>
      <c r="E93" s="38"/>
      <c r="F93" s="38"/>
      <c r="G93" s="38"/>
      <c r="H93" s="238"/>
      <c r="I93" s="272"/>
      <c r="J93" s="238"/>
      <c r="K93" s="38"/>
      <c r="L93" s="38"/>
      <c r="M93" s="38"/>
      <c r="N93" s="38"/>
      <c r="O93" s="205"/>
      <c r="P93" s="38"/>
      <c r="Q93" s="38"/>
      <c r="R93" s="38"/>
      <c r="S93" s="38"/>
      <c r="T93" s="38"/>
      <c r="U93" s="38"/>
      <c r="V93" s="38"/>
      <c r="W93" s="38"/>
      <c r="X93" s="38"/>
      <c r="Y93" s="38"/>
      <c r="Z93" s="38"/>
      <c r="AA93" s="38"/>
      <c r="AB93" s="38"/>
      <c r="AC93" s="38"/>
      <c r="AD93" s="38"/>
      <c r="AE93" s="38"/>
      <c r="AF93" s="38"/>
      <c r="AG93" s="38"/>
    </row>
    <row r="94" spans="1:33" x14ac:dyDescent="0.25">
      <c r="A94" s="38"/>
      <c r="B94" s="38"/>
      <c r="C94" s="38"/>
      <c r="D94" s="268"/>
      <c r="E94" s="38"/>
      <c r="F94" s="38"/>
      <c r="G94" s="38"/>
      <c r="H94" s="238"/>
      <c r="I94" s="272"/>
      <c r="J94" s="38"/>
      <c r="K94" s="38"/>
      <c r="L94" s="38"/>
      <c r="M94" s="38"/>
      <c r="N94" s="38"/>
      <c r="O94" s="205"/>
      <c r="P94" s="38"/>
      <c r="Q94" s="38"/>
      <c r="R94" s="38"/>
      <c r="S94" s="38"/>
      <c r="T94" s="38"/>
      <c r="U94" s="38"/>
      <c r="V94" s="38"/>
      <c r="W94" s="38"/>
      <c r="X94" s="38"/>
      <c r="Y94" s="38"/>
      <c r="Z94" s="38"/>
      <c r="AA94" s="38"/>
      <c r="AB94" s="38"/>
      <c r="AC94" s="38"/>
      <c r="AD94" s="38"/>
      <c r="AE94" s="38"/>
      <c r="AF94" s="38"/>
      <c r="AG94" s="38"/>
    </row>
    <row r="95" spans="1:33" x14ac:dyDescent="0.25">
      <c r="A95" s="38"/>
      <c r="B95" s="38"/>
      <c r="C95" s="38"/>
      <c r="D95" s="268"/>
      <c r="E95" s="38"/>
      <c r="F95" s="38"/>
      <c r="G95" s="238"/>
      <c r="H95" s="238"/>
      <c r="I95" s="272"/>
      <c r="J95" s="38"/>
      <c r="K95" s="38"/>
      <c r="L95" s="38"/>
      <c r="M95" s="38"/>
      <c r="N95" s="38"/>
      <c r="O95" s="205"/>
      <c r="P95" s="38"/>
      <c r="Q95" s="38"/>
      <c r="R95" s="38"/>
      <c r="S95" s="38"/>
      <c r="T95" s="38"/>
      <c r="U95" s="38"/>
      <c r="V95" s="38"/>
      <c r="W95" s="38"/>
      <c r="X95" s="38"/>
      <c r="Y95" s="38"/>
      <c r="Z95" s="38"/>
      <c r="AA95" s="38"/>
      <c r="AB95" s="38"/>
      <c r="AC95" s="38"/>
      <c r="AD95" s="38"/>
      <c r="AE95" s="38"/>
      <c r="AF95" s="38"/>
      <c r="AG95" s="38"/>
    </row>
    <row r="96" spans="1:33" x14ac:dyDescent="0.25">
      <c r="A96" s="273"/>
      <c r="B96" s="38"/>
      <c r="C96" s="238"/>
      <c r="D96" s="247"/>
      <c r="E96" s="274"/>
      <c r="F96" s="274"/>
      <c r="G96" s="38"/>
      <c r="H96" s="38"/>
      <c r="I96" s="239"/>
      <c r="J96" s="38"/>
      <c r="K96" s="38"/>
      <c r="L96" s="38"/>
      <c r="M96" s="38"/>
      <c r="N96" s="38"/>
      <c r="O96" s="205"/>
      <c r="P96" s="38"/>
      <c r="Q96" s="38"/>
      <c r="R96" s="38"/>
      <c r="S96" s="38"/>
      <c r="T96" s="38"/>
      <c r="U96" s="38"/>
      <c r="V96" s="38"/>
      <c r="W96" s="38"/>
      <c r="X96" s="38"/>
      <c r="Y96" s="38"/>
      <c r="Z96" s="38"/>
      <c r="AA96" s="38"/>
      <c r="AB96" s="38"/>
      <c r="AC96" s="38"/>
      <c r="AD96" s="38"/>
      <c r="AE96" s="38"/>
      <c r="AF96" s="38"/>
      <c r="AG96" s="38"/>
    </row>
    <row r="97" spans="1:33" x14ac:dyDescent="0.25">
      <c r="A97" s="38"/>
      <c r="B97" s="38"/>
      <c r="C97" s="38"/>
      <c r="D97" s="268"/>
      <c r="E97" s="38"/>
      <c r="F97" s="38"/>
      <c r="G97" s="38"/>
      <c r="H97" s="38"/>
      <c r="I97" s="38"/>
      <c r="J97" s="38"/>
      <c r="K97" s="38"/>
      <c r="L97" s="38"/>
      <c r="M97" s="38"/>
      <c r="N97" s="38"/>
      <c r="O97" s="205"/>
      <c r="P97" s="38"/>
      <c r="Q97" s="38"/>
      <c r="R97" s="38"/>
      <c r="S97" s="38"/>
      <c r="T97" s="38"/>
      <c r="U97" s="38"/>
      <c r="V97" s="38"/>
      <c r="W97" s="38"/>
      <c r="X97" s="38"/>
      <c r="Y97" s="38"/>
      <c r="Z97" s="38"/>
      <c r="AA97" s="38"/>
      <c r="AB97" s="38"/>
      <c r="AC97" s="38"/>
      <c r="AD97" s="38"/>
      <c r="AE97" s="38"/>
      <c r="AF97" s="38"/>
      <c r="AG97" s="38"/>
    </row>
    <row r="98" spans="1:33" x14ac:dyDescent="0.25">
      <c r="A98" s="38"/>
      <c r="B98" s="38"/>
      <c r="C98" s="38"/>
      <c r="D98" s="268"/>
      <c r="E98" s="38"/>
      <c r="F98" s="38"/>
      <c r="G98" s="38"/>
      <c r="H98" s="38"/>
      <c r="I98" s="38"/>
      <c r="J98" s="38"/>
      <c r="K98" s="38"/>
      <c r="L98" s="38"/>
      <c r="M98" s="38"/>
      <c r="N98" s="38"/>
      <c r="O98" s="205"/>
      <c r="P98" s="38"/>
      <c r="Q98" s="38"/>
      <c r="R98" s="38"/>
      <c r="S98" s="38"/>
      <c r="T98" s="38"/>
      <c r="U98" s="38"/>
      <c r="V98" s="38"/>
      <c r="W98" s="38"/>
      <c r="X98" s="38"/>
      <c r="Y98" s="38"/>
      <c r="Z98" s="38"/>
      <c r="AA98" s="38"/>
      <c r="AB98" s="38"/>
      <c r="AC98" s="38"/>
      <c r="AD98" s="38"/>
      <c r="AE98" s="38"/>
      <c r="AF98" s="38"/>
      <c r="AG98" s="38"/>
    </row>
    <row r="99" spans="1:33" x14ac:dyDescent="0.25">
      <c r="A99" s="38"/>
      <c r="B99" s="38"/>
      <c r="C99" s="38"/>
      <c r="D99" s="268"/>
      <c r="E99" s="38"/>
      <c r="F99" s="38"/>
      <c r="G99" s="38"/>
      <c r="H99" s="38"/>
      <c r="I99" s="38"/>
      <c r="J99" s="38"/>
      <c r="K99" s="38"/>
      <c r="L99" s="38"/>
      <c r="M99" s="38"/>
      <c r="N99" s="38"/>
      <c r="O99" s="205"/>
      <c r="P99" s="38"/>
      <c r="Q99" s="38"/>
      <c r="R99" s="38"/>
      <c r="S99" s="38"/>
      <c r="T99" s="38"/>
      <c r="U99" s="38"/>
      <c r="V99" s="38"/>
      <c r="W99" s="38"/>
      <c r="X99" s="38"/>
      <c r="Y99" s="38"/>
      <c r="Z99" s="38"/>
      <c r="AA99" s="38"/>
      <c r="AB99" s="38"/>
      <c r="AC99" s="38"/>
      <c r="AD99" s="38"/>
      <c r="AE99" s="38"/>
      <c r="AF99" s="38"/>
      <c r="AG99" s="38"/>
    </row>
    <row r="100" spans="1:33" x14ac:dyDescent="0.25">
      <c r="A100" s="238"/>
      <c r="B100" s="239"/>
      <c r="C100" s="38"/>
      <c r="D100" s="268"/>
      <c r="E100" s="38"/>
      <c r="F100" s="38"/>
      <c r="G100" s="38"/>
      <c r="H100" s="38"/>
      <c r="I100" s="38"/>
      <c r="J100" s="38"/>
      <c r="K100" s="38"/>
      <c r="L100" s="38"/>
      <c r="M100" s="38"/>
      <c r="N100" s="38"/>
      <c r="O100" s="205"/>
      <c r="P100" s="38"/>
      <c r="Q100" s="38"/>
      <c r="R100" s="38"/>
      <c r="S100" s="38"/>
      <c r="T100" s="38"/>
      <c r="U100" s="38"/>
      <c r="V100" s="38"/>
      <c r="W100" s="38"/>
      <c r="X100" s="38"/>
      <c r="Y100" s="38"/>
      <c r="Z100" s="38"/>
      <c r="AA100" s="38"/>
      <c r="AB100" s="38"/>
      <c r="AC100" s="38"/>
      <c r="AD100" s="38"/>
      <c r="AE100" s="38"/>
      <c r="AF100" s="38"/>
      <c r="AG100" s="38"/>
    </row>
    <row r="101" spans="1:33" x14ac:dyDescent="0.25">
      <c r="A101" s="38"/>
      <c r="B101" s="38"/>
      <c r="C101" s="38"/>
      <c r="D101" s="268"/>
      <c r="E101" s="38"/>
      <c r="F101" s="38"/>
      <c r="G101" s="38"/>
      <c r="H101" s="38"/>
      <c r="I101" s="38"/>
      <c r="J101" s="38"/>
      <c r="K101" s="38"/>
      <c r="L101" s="38"/>
      <c r="M101" s="38"/>
      <c r="N101" s="38"/>
      <c r="O101" s="205"/>
      <c r="P101" s="38"/>
      <c r="Q101" s="38"/>
      <c r="R101" s="38"/>
      <c r="S101" s="38"/>
      <c r="T101" s="38"/>
      <c r="U101" s="38"/>
      <c r="V101" s="38"/>
      <c r="W101" s="38"/>
      <c r="X101" s="38"/>
      <c r="Y101" s="38"/>
      <c r="Z101" s="38"/>
      <c r="AA101" s="38"/>
      <c r="AB101" s="38"/>
      <c r="AC101" s="38"/>
      <c r="AD101" s="38"/>
      <c r="AE101" s="38"/>
      <c r="AF101" s="38"/>
      <c r="AG101" s="38"/>
    </row>
    <row r="102" spans="1:33" x14ac:dyDescent="0.25">
      <c r="A102" s="181"/>
      <c r="B102" s="38"/>
      <c r="C102" s="38"/>
      <c r="D102" s="268"/>
      <c r="E102" s="130"/>
      <c r="F102" s="130"/>
      <c r="G102" s="38"/>
      <c r="H102" s="38"/>
      <c r="I102" s="38"/>
      <c r="J102" s="38"/>
      <c r="K102" s="38"/>
      <c r="L102" s="38"/>
      <c r="M102" s="38"/>
      <c r="N102" s="38"/>
      <c r="O102" s="205"/>
      <c r="P102" s="38"/>
      <c r="Q102" s="38"/>
      <c r="R102" s="38"/>
      <c r="S102" s="38"/>
      <c r="T102" s="38"/>
      <c r="U102" s="38"/>
      <c r="V102" s="38"/>
      <c r="W102" s="38"/>
      <c r="X102" s="38"/>
      <c r="Y102" s="38"/>
      <c r="Z102" s="38"/>
      <c r="AA102" s="38"/>
      <c r="AB102" s="38"/>
      <c r="AC102" s="38"/>
      <c r="AD102" s="38"/>
      <c r="AE102" s="38"/>
      <c r="AF102" s="38"/>
      <c r="AG102" s="38"/>
    </row>
    <row r="103" spans="1:33" x14ac:dyDescent="0.25">
      <c r="A103" s="38"/>
      <c r="B103" s="38"/>
      <c r="C103" s="38"/>
      <c r="D103" s="268"/>
      <c r="E103" s="38"/>
      <c r="F103" s="38"/>
      <c r="G103" s="38"/>
      <c r="H103" s="38"/>
      <c r="I103" s="38"/>
      <c r="J103" s="38"/>
      <c r="K103" s="38"/>
      <c r="L103" s="38"/>
      <c r="M103" s="38"/>
      <c r="N103" s="38"/>
      <c r="O103" s="205"/>
      <c r="P103" s="38"/>
      <c r="Q103" s="38"/>
      <c r="R103" s="38"/>
      <c r="S103" s="38"/>
      <c r="T103" s="38"/>
      <c r="U103" s="38"/>
      <c r="V103" s="38"/>
      <c r="W103" s="38"/>
      <c r="X103" s="38"/>
      <c r="Y103" s="38"/>
      <c r="Z103" s="38"/>
      <c r="AA103" s="38"/>
      <c r="AB103" s="38"/>
      <c r="AC103" s="38"/>
      <c r="AD103" s="38"/>
      <c r="AE103" s="38"/>
      <c r="AF103" s="38"/>
      <c r="AG103" s="38"/>
    </row>
    <row r="104" spans="1:33" x14ac:dyDescent="0.25">
      <c r="A104" s="38"/>
      <c r="B104" s="38"/>
      <c r="C104" s="38"/>
      <c r="D104" s="268"/>
      <c r="E104" s="38"/>
      <c r="F104" s="38"/>
      <c r="G104" s="275"/>
      <c r="H104" s="38"/>
      <c r="I104" s="38"/>
      <c r="J104" s="38"/>
      <c r="K104" s="38"/>
      <c r="L104" s="38"/>
      <c r="M104" s="38"/>
      <c r="N104" s="38"/>
      <c r="O104" s="205"/>
      <c r="P104" s="38"/>
      <c r="Q104" s="38"/>
      <c r="R104" s="38"/>
      <c r="S104" s="38"/>
      <c r="T104" s="38"/>
      <c r="U104" s="38"/>
      <c r="V104" s="38"/>
      <c r="W104" s="38"/>
      <c r="X104" s="38"/>
      <c r="Y104" s="38"/>
      <c r="Z104" s="38"/>
      <c r="AA104" s="38"/>
      <c r="AB104" s="38"/>
      <c r="AC104" s="38"/>
      <c r="AD104" s="38"/>
      <c r="AE104" s="38"/>
      <c r="AF104" s="38"/>
      <c r="AG104" s="38"/>
    </row>
    <row r="105" spans="1:33" x14ac:dyDescent="0.25">
      <c r="A105" s="38"/>
      <c r="B105" s="38"/>
      <c r="C105" s="38"/>
      <c r="D105" s="268"/>
      <c r="E105" s="38"/>
      <c r="F105" s="38"/>
      <c r="G105" s="38"/>
      <c r="H105" s="38"/>
      <c r="I105" s="38"/>
      <c r="J105" s="38"/>
      <c r="K105" s="38"/>
      <c r="L105" s="38"/>
      <c r="M105" s="38"/>
      <c r="N105" s="38"/>
      <c r="O105" s="205"/>
      <c r="P105" s="38"/>
      <c r="Q105" s="38"/>
      <c r="R105" s="38"/>
      <c r="S105" s="38"/>
      <c r="T105" s="38"/>
      <c r="U105" s="38"/>
      <c r="V105" s="38"/>
      <c r="W105" s="38"/>
      <c r="X105" s="38"/>
      <c r="Y105" s="38"/>
      <c r="Z105" s="38"/>
      <c r="AA105" s="38"/>
      <c r="AB105" s="38"/>
      <c r="AC105" s="38"/>
      <c r="AD105" s="38"/>
      <c r="AE105" s="38"/>
      <c r="AF105" s="38"/>
      <c r="AG105" s="38"/>
    </row>
    <row r="106" spans="1:33" x14ac:dyDescent="0.25">
      <c r="A106" s="38"/>
      <c r="B106" s="38"/>
      <c r="C106" s="38"/>
      <c r="D106" s="268"/>
      <c r="E106" s="38"/>
      <c r="F106" s="38"/>
      <c r="G106" s="38"/>
      <c r="H106" s="38"/>
      <c r="I106" s="38"/>
      <c r="J106" s="38"/>
      <c r="K106" s="38"/>
      <c r="L106" s="38"/>
      <c r="M106" s="38"/>
      <c r="N106" s="38"/>
      <c r="O106" s="205"/>
      <c r="P106" s="38"/>
      <c r="Q106" s="38"/>
      <c r="R106" s="38"/>
      <c r="S106" s="38"/>
      <c r="T106" s="38"/>
      <c r="U106" s="38"/>
      <c r="V106" s="38"/>
      <c r="W106" s="38"/>
      <c r="X106" s="38"/>
      <c r="Y106" s="38"/>
      <c r="Z106" s="38"/>
      <c r="AA106" s="38"/>
      <c r="AB106" s="38"/>
      <c r="AC106" s="38"/>
      <c r="AD106" s="38"/>
      <c r="AE106" s="38"/>
      <c r="AF106" s="38"/>
      <c r="AG106" s="38"/>
    </row>
    <row r="107" spans="1:33" x14ac:dyDescent="0.25">
      <c r="A107" s="38"/>
      <c r="B107" s="38"/>
      <c r="C107" s="38"/>
      <c r="D107" s="268"/>
      <c r="E107" s="38"/>
      <c r="F107" s="38"/>
      <c r="G107" s="38"/>
      <c r="H107" s="38"/>
      <c r="I107" s="38"/>
      <c r="J107" s="38"/>
      <c r="K107" s="38"/>
      <c r="L107" s="38"/>
      <c r="M107" s="38"/>
      <c r="N107" s="38"/>
      <c r="O107" s="205"/>
      <c r="P107" s="38"/>
      <c r="Q107" s="38"/>
      <c r="R107" s="38"/>
      <c r="S107" s="38"/>
      <c r="T107" s="38"/>
      <c r="U107" s="38"/>
      <c r="V107" s="38"/>
      <c r="W107" s="38"/>
      <c r="X107" s="38"/>
      <c r="Y107" s="38"/>
      <c r="Z107" s="38"/>
      <c r="AA107" s="38"/>
      <c r="AB107" s="38"/>
      <c r="AC107" s="38"/>
      <c r="AD107" s="38"/>
      <c r="AE107" s="38"/>
      <c r="AF107" s="38"/>
      <c r="AG107" s="38"/>
    </row>
    <row r="108" spans="1:33" x14ac:dyDescent="0.25">
      <c r="A108" s="38"/>
      <c r="B108" s="38"/>
      <c r="C108" s="38"/>
      <c r="D108" s="268"/>
      <c r="E108" s="38"/>
      <c r="F108" s="38"/>
      <c r="G108" s="38"/>
      <c r="H108" s="38"/>
      <c r="I108" s="38"/>
      <c r="J108" s="38"/>
      <c r="K108" s="38"/>
      <c r="L108" s="38"/>
      <c r="M108" s="38"/>
      <c r="N108" s="38"/>
      <c r="O108" s="205"/>
      <c r="P108" s="38"/>
      <c r="Q108" s="38"/>
      <c r="R108" s="38"/>
      <c r="S108" s="38"/>
      <c r="T108" s="38"/>
      <c r="U108" s="38"/>
      <c r="V108" s="38"/>
      <c r="W108" s="38"/>
      <c r="X108" s="38"/>
      <c r="Y108" s="38"/>
      <c r="Z108" s="38"/>
      <c r="AA108" s="38"/>
      <c r="AB108" s="38"/>
      <c r="AC108" s="38"/>
      <c r="AD108" s="38"/>
      <c r="AE108" s="38"/>
      <c r="AF108" s="38"/>
      <c r="AG108" s="38"/>
    </row>
    <row r="109" spans="1:33" x14ac:dyDescent="0.25">
      <c r="A109" s="38"/>
      <c r="B109" s="38"/>
      <c r="C109" s="38"/>
      <c r="D109" s="268"/>
      <c r="E109" s="38"/>
      <c r="F109" s="38"/>
      <c r="G109" s="38"/>
      <c r="H109" s="38"/>
      <c r="I109" s="38"/>
      <c r="J109" s="38"/>
      <c r="K109" s="38"/>
      <c r="L109" s="38"/>
      <c r="M109" s="38"/>
      <c r="N109" s="38"/>
      <c r="O109" s="205"/>
      <c r="P109" s="38"/>
      <c r="Q109" s="38"/>
      <c r="R109" s="38"/>
      <c r="S109" s="38"/>
      <c r="T109" s="38"/>
      <c r="U109" s="38"/>
      <c r="V109" s="38"/>
      <c r="W109" s="38"/>
      <c r="X109" s="38"/>
      <c r="Y109" s="38"/>
      <c r="Z109" s="38"/>
      <c r="AA109" s="38"/>
      <c r="AB109" s="38"/>
      <c r="AC109" s="38"/>
      <c r="AD109" s="38"/>
      <c r="AE109" s="38"/>
      <c r="AF109" s="38"/>
      <c r="AG109" s="38"/>
    </row>
    <row r="110" spans="1:33" x14ac:dyDescent="0.25">
      <c r="A110" s="38"/>
      <c r="B110" s="38"/>
      <c r="C110" s="38"/>
      <c r="D110" s="268"/>
      <c r="E110" s="38"/>
      <c r="F110" s="38"/>
      <c r="G110" s="38"/>
      <c r="H110" s="38"/>
      <c r="I110" s="38"/>
      <c r="J110" s="38"/>
      <c r="K110" s="38"/>
      <c r="L110" s="38"/>
      <c r="M110" s="38"/>
      <c r="N110" s="38"/>
      <c r="O110" s="205"/>
      <c r="P110" s="38"/>
      <c r="Q110" s="38"/>
      <c r="R110" s="38"/>
      <c r="S110" s="38"/>
      <c r="T110" s="38"/>
      <c r="U110" s="38"/>
      <c r="V110" s="38"/>
      <c r="W110" s="38"/>
      <c r="X110" s="38"/>
      <c r="Y110" s="38"/>
      <c r="Z110" s="38"/>
      <c r="AA110" s="38"/>
      <c r="AB110" s="38"/>
      <c r="AC110" s="38"/>
      <c r="AD110" s="38"/>
      <c r="AE110" s="38"/>
      <c r="AF110" s="38"/>
      <c r="AG110" s="38"/>
    </row>
    <row r="111" spans="1:33" x14ac:dyDescent="0.25">
      <c r="A111" s="38"/>
      <c r="B111" s="38"/>
      <c r="C111" s="38"/>
      <c r="D111" s="268"/>
      <c r="E111" s="38"/>
      <c r="F111" s="38"/>
      <c r="G111" s="38"/>
      <c r="H111" s="38"/>
      <c r="I111" s="38"/>
      <c r="J111" s="38"/>
      <c r="K111" s="38"/>
      <c r="L111" s="38"/>
      <c r="M111" s="38"/>
      <c r="N111" s="38"/>
      <c r="O111" s="205"/>
      <c r="P111" s="38"/>
      <c r="Q111" s="38"/>
      <c r="R111" s="38"/>
      <c r="S111" s="38"/>
      <c r="T111" s="38"/>
      <c r="U111" s="38"/>
      <c r="V111" s="38"/>
      <c r="W111" s="38"/>
      <c r="X111" s="38"/>
      <c r="Y111" s="38"/>
      <c r="Z111" s="38"/>
      <c r="AA111" s="38"/>
      <c r="AB111" s="38"/>
      <c r="AC111" s="38"/>
      <c r="AD111" s="38"/>
      <c r="AE111" s="38"/>
      <c r="AF111" s="38"/>
      <c r="AG111" s="38"/>
    </row>
    <row r="112" spans="1:33" x14ac:dyDescent="0.25">
      <c r="A112" s="38"/>
      <c r="B112" s="38"/>
      <c r="C112" s="38"/>
      <c r="D112" s="268"/>
      <c r="E112" s="38"/>
      <c r="F112" s="38"/>
      <c r="G112" s="38"/>
      <c r="H112" s="238"/>
      <c r="I112" s="38"/>
      <c r="J112" s="38"/>
      <c r="K112" s="38"/>
      <c r="L112" s="38"/>
      <c r="M112" s="38"/>
      <c r="N112" s="38"/>
      <c r="O112" s="205"/>
      <c r="P112" s="38"/>
      <c r="Q112" s="38"/>
      <c r="R112" s="38"/>
      <c r="S112" s="38"/>
      <c r="T112" s="38"/>
      <c r="U112" s="38"/>
      <c r="V112" s="38"/>
      <c r="W112" s="38"/>
      <c r="X112" s="38"/>
      <c r="Y112" s="38"/>
      <c r="Z112" s="38"/>
      <c r="AA112" s="38"/>
      <c r="AB112" s="38"/>
      <c r="AC112" s="38"/>
      <c r="AD112" s="38"/>
      <c r="AE112" s="38"/>
      <c r="AF112" s="38"/>
      <c r="AG112" s="38"/>
    </row>
    <row r="113" spans="1:33" x14ac:dyDescent="0.25">
      <c r="A113" s="38"/>
      <c r="B113" s="38"/>
      <c r="C113" s="38"/>
      <c r="D113" s="268"/>
      <c r="E113" s="38"/>
      <c r="F113" s="38"/>
      <c r="G113" s="38"/>
      <c r="H113" s="38"/>
      <c r="I113" s="38"/>
      <c r="J113" s="38"/>
      <c r="K113" s="38"/>
      <c r="L113" s="38"/>
      <c r="M113" s="38"/>
      <c r="N113" s="38"/>
      <c r="O113" s="205"/>
      <c r="P113" s="38"/>
      <c r="Q113" s="38"/>
      <c r="R113" s="38"/>
      <c r="S113" s="38"/>
      <c r="T113" s="38"/>
      <c r="U113" s="38"/>
      <c r="V113" s="38"/>
      <c r="W113" s="38"/>
      <c r="X113" s="38"/>
      <c r="Y113" s="38"/>
      <c r="Z113" s="38"/>
      <c r="AA113" s="38"/>
      <c r="AB113" s="38"/>
      <c r="AC113" s="38"/>
      <c r="AD113" s="38"/>
      <c r="AE113" s="38"/>
      <c r="AF113" s="38"/>
      <c r="AG113" s="38"/>
    </row>
    <row r="114" spans="1:33" x14ac:dyDescent="0.25">
      <c r="A114" s="38"/>
      <c r="B114" s="38"/>
      <c r="C114" s="38"/>
      <c r="D114" s="268"/>
      <c r="E114" s="38"/>
      <c r="F114" s="38"/>
      <c r="G114" s="38"/>
      <c r="H114" s="238"/>
      <c r="I114" s="38"/>
      <c r="J114" s="38"/>
      <c r="K114" s="38"/>
      <c r="L114" s="38"/>
      <c r="M114" s="38"/>
      <c r="N114" s="38"/>
      <c r="O114" s="205"/>
      <c r="P114" s="38"/>
      <c r="Q114" s="38"/>
      <c r="R114" s="38"/>
      <c r="S114" s="38"/>
      <c r="T114" s="38"/>
      <c r="U114" s="38"/>
      <c r="V114" s="38"/>
      <c r="W114" s="38"/>
      <c r="X114" s="38"/>
      <c r="Y114" s="38"/>
      <c r="Z114" s="38"/>
      <c r="AA114" s="38"/>
      <c r="AB114" s="38"/>
      <c r="AC114" s="38"/>
      <c r="AD114" s="38"/>
      <c r="AE114" s="38"/>
      <c r="AF114" s="38"/>
      <c r="AG114" s="38"/>
    </row>
    <row r="115" spans="1:33" x14ac:dyDescent="0.25">
      <c r="A115" s="38"/>
      <c r="B115" s="38"/>
      <c r="C115" s="38"/>
      <c r="D115" s="268"/>
      <c r="E115" s="38"/>
      <c r="F115" s="38"/>
      <c r="G115" s="38"/>
      <c r="H115" s="238"/>
      <c r="I115" s="38"/>
      <c r="J115" s="38"/>
      <c r="K115" s="38"/>
      <c r="L115" s="38"/>
      <c r="M115" s="38"/>
      <c r="N115" s="38"/>
      <c r="O115" s="205"/>
      <c r="P115" s="38"/>
      <c r="Q115" s="38"/>
      <c r="R115" s="38"/>
      <c r="S115" s="38"/>
      <c r="T115" s="38"/>
      <c r="U115" s="38"/>
      <c r="V115" s="38"/>
      <c r="W115" s="38"/>
      <c r="X115" s="38"/>
      <c r="Y115" s="38"/>
      <c r="Z115" s="38"/>
      <c r="AA115" s="38"/>
      <c r="AB115" s="38"/>
      <c r="AC115" s="38"/>
      <c r="AD115" s="38"/>
      <c r="AE115" s="38"/>
      <c r="AF115" s="38"/>
      <c r="AG115" s="38"/>
    </row>
    <row r="116" spans="1:33" x14ac:dyDescent="0.25">
      <c r="A116" s="38"/>
      <c r="B116" s="38"/>
      <c r="C116" s="38"/>
      <c r="D116" s="268"/>
      <c r="E116" s="38"/>
      <c r="F116" s="38"/>
      <c r="G116" s="38"/>
      <c r="H116" s="238"/>
      <c r="I116" s="38"/>
      <c r="J116" s="38"/>
      <c r="K116" s="38"/>
      <c r="L116" s="38"/>
      <c r="M116" s="38"/>
      <c r="N116" s="38"/>
      <c r="O116" s="205"/>
      <c r="P116" s="38"/>
      <c r="Q116" s="38"/>
      <c r="R116" s="38"/>
      <c r="S116" s="38"/>
      <c r="T116" s="38"/>
      <c r="U116" s="38"/>
      <c r="V116" s="38"/>
      <c r="W116" s="38"/>
      <c r="X116" s="38"/>
      <c r="Y116" s="38"/>
      <c r="Z116" s="38"/>
      <c r="AA116" s="38"/>
      <c r="AB116" s="38"/>
      <c r="AC116" s="38"/>
      <c r="AD116" s="38"/>
      <c r="AE116" s="38"/>
      <c r="AF116" s="38"/>
      <c r="AG116" s="38"/>
    </row>
    <row r="117" spans="1:33" x14ac:dyDescent="0.25">
      <c r="A117" s="38"/>
      <c r="B117" s="38"/>
      <c r="C117" s="38"/>
      <c r="D117" s="268"/>
      <c r="E117" s="38"/>
      <c r="F117" s="38"/>
      <c r="G117" s="38"/>
      <c r="H117" s="38"/>
      <c r="I117" s="38"/>
      <c r="J117" s="38"/>
      <c r="K117" s="38"/>
      <c r="L117" s="38"/>
      <c r="M117" s="38"/>
      <c r="N117" s="38"/>
      <c r="O117" s="205"/>
      <c r="P117" s="38"/>
      <c r="Q117" s="38"/>
      <c r="R117" s="38"/>
      <c r="S117" s="38"/>
      <c r="T117" s="38"/>
      <c r="U117" s="38"/>
      <c r="V117" s="38"/>
      <c r="W117" s="38"/>
      <c r="X117" s="38"/>
      <c r="Y117" s="38"/>
      <c r="Z117" s="38"/>
      <c r="AA117" s="38"/>
      <c r="AB117" s="38"/>
      <c r="AC117" s="38"/>
      <c r="AD117" s="38"/>
      <c r="AE117" s="38"/>
      <c r="AF117" s="38"/>
      <c r="AG117" s="38"/>
    </row>
    <row r="118" spans="1:33" x14ac:dyDescent="0.25">
      <c r="A118" s="38"/>
      <c r="B118" s="38"/>
      <c r="C118" s="38"/>
      <c r="D118" s="268"/>
      <c r="E118" s="38"/>
      <c r="F118" s="38"/>
      <c r="G118" s="38"/>
      <c r="H118" s="38"/>
      <c r="I118" s="38"/>
      <c r="J118" s="38"/>
      <c r="K118" s="38"/>
      <c r="L118" s="38"/>
      <c r="M118" s="38"/>
      <c r="N118" s="38"/>
      <c r="O118" s="205"/>
      <c r="P118" s="38"/>
      <c r="Q118" s="38"/>
      <c r="R118" s="38"/>
      <c r="S118" s="38"/>
      <c r="T118" s="38"/>
      <c r="U118" s="38"/>
      <c r="V118" s="38"/>
      <c r="W118" s="38"/>
      <c r="X118" s="38"/>
      <c r="Y118" s="38"/>
      <c r="Z118" s="38"/>
      <c r="AA118" s="38"/>
      <c r="AB118" s="38"/>
      <c r="AC118" s="38"/>
      <c r="AD118" s="38"/>
      <c r="AE118" s="38"/>
      <c r="AF118" s="38"/>
      <c r="AG118" s="38"/>
    </row>
    <row r="119" spans="1:33" x14ac:dyDescent="0.25">
      <c r="A119" s="38"/>
      <c r="B119" s="38"/>
      <c r="C119" s="38"/>
      <c r="D119" s="268"/>
      <c r="E119" s="38"/>
      <c r="F119" s="38"/>
      <c r="G119" s="38"/>
      <c r="H119" s="38"/>
      <c r="I119" s="38"/>
      <c r="J119" s="38"/>
      <c r="K119" s="38"/>
      <c r="L119" s="38"/>
      <c r="M119" s="38"/>
      <c r="N119" s="38"/>
      <c r="O119" s="205"/>
      <c r="P119" s="38"/>
      <c r="Q119" s="38"/>
      <c r="R119" s="38"/>
      <c r="S119" s="38"/>
      <c r="T119" s="38"/>
      <c r="U119" s="38"/>
      <c r="V119" s="38"/>
      <c r="W119" s="38"/>
      <c r="X119" s="38"/>
      <c r="Y119" s="38"/>
      <c r="Z119" s="38"/>
      <c r="AA119" s="38"/>
      <c r="AB119" s="38"/>
      <c r="AC119" s="38"/>
      <c r="AD119" s="38"/>
      <c r="AE119" s="38"/>
      <c r="AF119" s="38"/>
      <c r="AG119" s="38"/>
    </row>
    <row r="120" spans="1:33" x14ac:dyDescent="0.25">
      <c r="A120" s="38"/>
      <c r="B120" s="38"/>
      <c r="C120" s="38"/>
      <c r="D120" s="268"/>
      <c r="E120" s="38"/>
      <c r="F120" s="38"/>
      <c r="G120" s="38"/>
      <c r="H120" s="38"/>
      <c r="I120" s="38"/>
      <c r="J120" s="38"/>
      <c r="K120" s="38"/>
      <c r="L120" s="38"/>
      <c r="M120" s="38"/>
      <c r="N120" s="38"/>
      <c r="O120" s="205"/>
      <c r="P120" s="38"/>
      <c r="Q120" s="38"/>
      <c r="R120" s="38"/>
      <c r="S120" s="38"/>
      <c r="T120" s="38"/>
      <c r="U120" s="38"/>
      <c r="V120" s="38"/>
      <c r="W120" s="38"/>
      <c r="X120" s="38"/>
      <c r="Y120" s="38"/>
      <c r="Z120" s="38"/>
      <c r="AA120" s="38"/>
      <c r="AB120" s="38"/>
      <c r="AC120" s="38"/>
      <c r="AD120" s="38"/>
      <c r="AE120" s="38"/>
      <c r="AF120" s="38"/>
      <c r="AG120" s="38"/>
    </row>
    <row r="121" spans="1:33" x14ac:dyDescent="0.25">
      <c r="A121" s="38"/>
      <c r="B121" s="38"/>
      <c r="C121" s="38"/>
      <c r="D121" s="268"/>
      <c r="E121" s="38"/>
      <c r="F121" s="38"/>
      <c r="G121" s="38"/>
      <c r="H121" s="38"/>
      <c r="I121" s="38"/>
      <c r="J121" s="38"/>
      <c r="K121" s="38"/>
      <c r="L121" s="38"/>
      <c r="M121" s="38"/>
      <c r="N121" s="38"/>
      <c r="O121" s="205"/>
      <c r="P121" s="38"/>
      <c r="Q121" s="38"/>
      <c r="R121" s="38"/>
      <c r="S121" s="38"/>
      <c r="T121" s="38"/>
      <c r="U121" s="38"/>
      <c r="V121" s="38"/>
      <c r="W121" s="38"/>
      <c r="X121" s="38"/>
      <c r="Y121" s="38"/>
      <c r="Z121" s="38"/>
      <c r="AA121" s="38"/>
      <c r="AB121" s="38"/>
      <c r="AC121" s="38"/>
      <c r="AD121" s="38"/>
      <c r="AE121" s="38"/>
      <c r="AF121" s="38"/>
      <c r="AG121" s="38"/>
    </row>
    <row r="122" spans="1:33" x14ac:dyDescent="0.25">
      <c r="A122" s="38"/>
      <c r="B122" s="38"/>
      <c r="C122" s="38"/>
      <c r="D122" s="268"/>
      <c r="E122" s="38"/>
      <c r="F122" s="38"/>
      <c r="G122" s="38"/>
      <c r="H122" s="38"/>
      <c r="I122" s="38"/>
      <c r="J122" s="38"/>
      <c r="K122" s="38"/>
      <c r="L122" s="38"/>
      <c r="M122" s="38"/>
      <c r="N122" s="38"/>
      <c r="O122" s="205"/>
      <c r="P122" s="38"/>
      <c r="Q122" s="38"/>
      <c r="R122" s="38"/>
      <c r="S122" s="38"/>
      <c r="T122" s="38"/>
      <c r="U122" s="38"/>
      <c r="V122" s="38"/>
      <c r="W122" s="38"/>
      <c r="X122" s="38"/>
      <c r="Y122" s="38"/>
      <c r="Z122" s="38"/>
      <c r="AA122" s="38"/>
      <c r="AB122" s="38"/>
      <c r="AC122" s="38"/>
      <c r="AD122" s="38"/>
      <c r="AE122" s="38"/>
      <c r="AF122" s="38"/>
      <c r="AG122" s="38"/>
    </row>
    <row r="123" spans="1:33" x14ac:dyDescent="0.25">
      <c r="A123" s="38"/>
      <c r="B123" s="38"/>
      <c r="C123" s="38"/>
      <c r="D123" s="268"/>
      <c r="E123" s="38"/>
      <c r="F123" s="38"/>
      <c r="G123" s="38"/>
      <c r="H123" s="38"/>
      <c r="I123" s="38"/>
      <c r="J123" s="38"/>
      <c r="K123" s="38"/>
      <c r="L123" s="38"/>
      <c r="M123" s="38"/>
      <c r="N123" s="38"/>
      <c r="O123" s="205"/>
      <c r="P123" s="38"/>
      <c r="Q123" s="38"/>
      <c r="R123" s="38"/>
      <c r="S123" s="38"/>
      <c r="T123" s="38"/>
      <c r="U123" s="38"/>
      <c r="V123" s="38"/>
      <c r="W123" s="38"/>
      <c r="X123" s="38"/>
      <c r="Y123" s="38"/>
      <c r="Z123" s="38"/>
      <c r="AA123" s="38"/>
      <c r="AB123" s="38"/>
      <c r="AC123" s="38"/>
      <c r="AD123" s="38"/>
      <c r="AE123" s="38"/>
      <c r="AF123" s="38"/>
      <c r="AG123" s="38"/>
    </row>
    <row r="124" spans="1:33" x14ac:dyDescent="0.25">
      <c r="A124" s="38"/>
      <c r="B124" s="38"/>
      <c r="C124" s="38"/>
      <c r="D124" s="268"/>
      <c r="E124" s="38"/>
      <c r="F124" s="38"/>
      <c r="G124" s="38"/>
      <c r="H124" s="38"/>
      <c r="I124" s="38"/>
      <c r="J124" s="38"/>
      <c r="K124" s="38"/>
      <c r="L124" s="38"/>
      <c r="M124" s="38"/>
      <c r="N124" s="38"/>
      <c r="O124" s="205"/>
      <c r="P124" s="38"/>
      <c r="Q124" s="38"/>
      <c r="R124" s="38"/>
      <c r="S124" s="38"/>
      <c r="T124" s="38"/>
      <c r="U124" s="38"/>
      <c r="V124" s="38"/>
      <c r="W124" s="38"/>
      <c r="X124" s="38"/>
      <c r="Y124" s="38"/>
      <c r="Z124" s="38"/>
      <c r="AA124" s="38"/>
      <c r="AB124" s="38"/>
      <c r="AC124" s="38"/>
      <c r="AD124" s="38"/>
      <c r="AE124" s="38"/>
      <c r="AF124" s="38"/>
      <c r="AG124" s="38"/>
    </row>
    <row r="125" spans="1:33" x14ac:dyDescent="0.25">
      <c r="A125" s="38"/>
      <c r="B125" s="38"/>
      <c r="C125" s="38"/>
      <c r="D125" s="268"/>
      <c r="E125" s="38"/>
      <c r="F125" s="38"/>
      <c r="G125" s="38"/>
      <c r="H125" s="38"/>
      <c r="I125" s="38"/>
      <c r="J125" s="38"/>
      <c r="K125" s="38"/>
      <c r="L125" s="38"/>
      <c r="M125" s="38"/>
      <c r="N125" s="38"/>
      <c r="O125" s="205"/>
      <c r="P125" s="38"/>
      <c r="Q125" s="38"/>
      <c r="R125" s="38"/>
      <c r="S125" s="38"/>
      <c r="T125" s="38"/>
      <c r="U125" s="38"/>
      <c r="V125" s="38"/>
      <c r="W125" s="38"/>
      <c r="X125" s="38"/>
      <c r="Y125" s="38"/>
      <c r="Z125" s="38"/>
      <c r="AA125" s="38"/>
      <c r="AB125" s="38"/>
      <c r="AC125" s="38"/>
      <c r="AD125" s="38"/>
      <c r="AE125" s="38"/>
      <c r="AF125" s="38"/>
      <c r="AG125" s="38"/>
    </row>
    <row r="126" spans="1:33" x14ac:dyDescent="0.25">
      <c r="A126" s="38"/>
      <c r="B126" s="38"/>
      <c r="C126" s="38"/>
      <c r="D126" s="268"/>
      <c r="E126" s="38"/>
      <c r="F126" s="38"/>
      <c r="G126" s="38"/>
      <c r="H126" s="38"/>
      <c r="I126" s="38"/>
      <c r="J126" s="38"/>
      <c r="K126" s="38"/>
      <c r="L126" s="38"/>
      <c r="M126" s="38"/>
      <c r="N126" s="38"/>
      <c r="O126" s="205"/>
      <c r="P126" s="38"/>
      <c r="Q126" s="38"/>
      <c r="R126" s="38"/>
      <c r="S126" s="38"/>
      <c r="T126" s="38"/>
      <c r="U126" s="38"/>
      <c r="V126" s="38"/>
      <c r="W126" s="38"/>
      <c r="X126" s="38"/>
      <c r="Y126" s="38"/>
      <c r="Z126" s="38"/>
      <c r="AA126" s="38"/>
      <c r="AB126" s="38"/>
      <c r="AC126" s="38"/>
      <c r="AD126" s="38"/>
      <c r="AE126" s="38"/>
      <c r="AF126" s="38"/>
      <c r="AG126" s="38"/>
    </row>
    <row r="127" spans="1:33" x14ac:dyDescent="0.25">
      <c r="A127" s="38"/>
      <c r="B127" s="38"/>
      <c r="C127" s="38"/>
      <c r="D127" s="268"/>
      <c r="E127" s="38"/>
      <c r="F127" s="38"/>
      <c r="G127" s="38"/>
      <c r="H127" s="38"/>
      <c r="I127" s="38"/>
      <c r="J127" s="38"/>
      <c r="K127" s="38"/>
      <c r="L127" s="238"/>
      <c r="M127" s="255"/>
      <c r="N127" s="38"/>
      <c r="O127" s="205"/>
      <c r="P127" s="38"/>
      <c r="Q127" s="38"/>
      <c r="R127" s="38"/>
      <c r="S127" s="38"/>
      <c r="T127" s="38"/>
      <c r="U127" s="38"/>
      <c r="V127" s="38"/>
      <c r="W127" s="38"/>
      <c r="X127" s="38"/>
      <c r="Y127" s="38"/>
      <c r="Z127" s="38"/>
      <c r="AA127" s="38"/>
      <c r="AB127" s="38"/>
      <c r="AC127" s="38"/>
      <c r="AD127" s="38"/>
      <c r="AE127" s="38"/>
      <c r="AF127" s="38"/>
      <c r="AG127" s="38"/>
    </row>
    <row r="128" spans="1:33" x14ac:dyDescent="0.25">
      <c r="A128" s="38"/>
      <c r="B128" s="38"/>
      <c r="C128" s="38"/>
      <c r="D128" s="268"/>
      <c r="E128" s="38"/>
      <c r="F128" s="38"/>
      <c r="G128" s="38"/>
      <c r="H128" s="38"/>
      <c r="I128" s="38"/>
      <c r="J128" s="38"/>
      <c r="K128" s="38"/>
      <c r="L128" s="238"/>
      <c r="M128" s="272"/>
      <c r="N128" s="38"/>
      <c r="O128" s="205"/>
      <c r="P128" s="38"/>
      <c r="Q128" s="38"/>
      <c r="R128" s="38"/>
      <c r="S128" s="38"/>
      <c r="T128" s="38"/>
      <c r="U128" s="38"/>
      <c r="V128" s="38"/>
      <c r="W128" s="38"/>
      <c r="X128" s="38"/>
      <c r="Y128" s="38"/>
      <c r="Z128" s="38"/>
      <c r="AA128" s="38"/>
      <c r="AB128" s="38"/>
      <c r="AC128" s="38"/>
      <c r="AD128" s="38"/>
      <c r="AE128" s="38"/>
      <c r="AF128" s="38"/>
      <c r="AG128" s="38"/>
    </row>
    <row r="129" spans="1:33" x14ac:dyDescent="0.25">
      <c r="A129" s="38"/>
      <c r="B129" s="38"/>
      <c r="C129" s="38"/>
      <c r="D129" s="268"/>
      <c r="E129" s="38"/>
      <c r="F129" s="38"/>
      <c r="G129" s="38"/>
      <c r="H129" s="38"/>
      <c r="I129" s="38"/>
      <c r="J129" s="38"/>
      <c r="K129" s="38"/>
      <c r="L129" s="238"/>
      <c r="M129" s="271"/>
      <c r="N129" s="38"/>
      <c r="O129" s="205"/>
      <c r="P129" s="38"/>
      <c r="Q129" s="38"/>
      <c r="R129" s="38"/>
      <c r="S129" s="38"/>
      <c r="T129" s="38"/>
      <c r="U129" s="38"/>
      <c r="V129" s="38"/>
      <c r="W129" s="38"/>
      <c r="X129" s="38"/>
      <c r="Y129" s="38"/>
      <c r="Z129" s="38"/>
      <c r="AA129" s="38"/>
      <c r="AB129" s="38"/>
      <c r="AC129" s="38"/>
      <c r="AD129" s="38"/>
      <c r="AE129" s="38"/>
      <c r="AF129" s="38"/>
      <c r="AG129" s="38"/>
    </row>
    <row r="130" spans="1:33" x14ac:dyDescent="0.25">
      <c r="A130" s="38"/>
      <c r="B130" s="38"/>
      <c r="C130" s="38"/>
      <c r="D130" s="268"/>
      <c r="E130" s="38"/>
      <c r="F130" s="38"/>
      <c r="G130" s="38"/>
      <c r="H130" s="38"/>
      <c r="I130" s="38"/>
      <c r="J130" s="38"/>
      <c r="K130" s="38"/>
      <c r="L130" s="238"/>
      <c r="M130" s="130"/>
      <c r="N130" s="38"/>
      <c r="O130" s="205"/>
      <c r="P130" s="38"/>
      <c r="Q130" s="38"/>
      <c r="R130" s="38"/>
      <c r="S130" s="38"/>
      <c r="T130" s="38"/>
      <c r="U130" s="38"/>
      <c r="V130" s="38"/>
      <c r="W130" s="38"/>
      <c r="X130" s="38"/>
      <c r="Y130" s="38"/>
      <c r="Z130" s="38"/>
      <c r="AA130" s="38"/>
      <c r="AB130" s="38"/>
      <c r="AC130" s="38"/>
      <c r="AD130" s="38"/>
      <c r="AE130" s="38"/>
      <c r="AF130" s="38"/>
      <c r="AG130" s="38"/>
    </row>
    <row r="131" spans="1:33" x14ac:dyDescent="0.25">
      <c r="A131" s="38"/>
      <c r="B131" s="38"/>
      <c r="C131" s="38"/>
      <c r="D131" s="268"/>
      <c r="E131" s="38"/>
      <c r="F131" s="38"/>
      <c r="G131" s="38"/>
      <c r="H131" s="38"/>
      <c r="I131" s="38"/>
      <c r="J131" s="38"/>
      <c r="K131" s="38"/>
      <c r="L131" s="238"/>
      <c r="M131" s="181"/>
      <c r="N131" s="38"/>
      <c r="O131" s="205"/>
      <c r="P131" s="38"/>
      <c r="Q131" s="38"/>
      <c r="R131" s="38"/>
      <c r="S131" s="38"/>
      <c r="T131" s="38"/>
      <c r="U131" s="38"/>
      <c r="V131" s="38"/>
      <c r="W131" s="38"/>
      <c r="X131" s="38"/>
      <c r="Y131" s="38"/>
      <c r="Z131" s="38"/>
      <c r="AA131" s="38"/>
      <c r="AB131" s="38"/>
      <c r="AC131" s="38"/>
      <c r="AD131" s="38"/>
      <c r="AE131" s="38"/>
      <c r="AF131" s="38"/>
      <c r="AG131" s="38"/>
    </row>
    <row r="132" spans="1:33" x14ac:dyDescent="0.25">
      <c r="A132" s="38"/>
      <c r="B132" s="38"/>
      <c r="C132" s="38"/>
      <c r="D132" s="268"/>
      <c r="E132" s="38"/>
      <c r="F132" s="38"/>
      <c r="G132" s="38"/>
      <c r="H132" s="38"/>
      <c r="I132" s="38"/>
      <c r="J132" s="38"/>
      <c r="K132" s="38"/>
      <c r="L132" s="238"/>
      <c r="M132" s="130"/>
      <c r="N132" s="38"/>
      <c r="O132" s="205"/>
      <c r="P132" s="38"/>
      <c r="Q132" s="38"/>
      <c r="R132" s="38"/>
      <c r="S132" s="38"/>
      <c r="T132" s="38"/>
      <c r="U132" s="38"/>
      <c r="V132" s="38"/>
      <c r="W132" s="38"/>
      <c r="X132" s="38"/>
      <c r="Y132" s="38"/>
      <c r="Z132" s="38"/>
      <c r="AA132" s="38"/>
      <c r="AB132" s="38"/>
      <c r="AC132" s="38"/>
      <c r="AD132" s="38"/>
      <c r="AE132" s="38"/>
      <c r="AF132" s="38"/>
      <c r="AG132" s="38"/>
    </row>
    <row r="133" spans="1:33" x14ac:dyDescent="0.25">
      <c r="A133" s="38"/>
      <c r="B133" s="38"/>
      <c r="C133" s="38"/>
      <c r="D133" s="268"/>
      <c r="E133" s="38"/>
      <c r="F133" s="38"/>
      <c r="G133" s="38"/>
      <c r="H133" s="38"/>
      <c r="I133" s="38"/>
      <c r="J133" s="38"/>
      <c r="K133" s="38"/>
      <c r="L133" s="238"/>
      <c r="M133" s="272"/>
      <c r="N133" s="38"/>
      <c r="O133" s="205"/>
      <c r="P133" s="38"/>
      <c r="Q133" s="38"/>
      <c r="R133" s="38"/>
      <c r="S133" s="38"/>
      <c r="T133" s="38"/>
      <c r="U133" s="38"/>
      <c r="V133" s="38"/>
      <c r="W133" s="38"/>
      <c r="X133" s="38"/>
      <c r="Y133" s="38"/>
      <c r="Z133" s="38"/>
      <c r="AA133" s="38"/>
      <c r="AB133" s="38"/>
      <c r="AC133" s="38"/>
      <c r="AD133" s="38"/>
      <c r="AE133" s="38"/>
      <c r="AF133" s="38"/>
      <c r="AG133" s="38"/>
    </row>
    <row r="134" spans="1:33" x14ac:dyDescent="0.25">
      <c r="A134" s="38"/>
      <c r="B134" s="38"/>
      <c r="C134" s="38"/>
      <c r="D134" s="268"/>
      <c r="E134" s="38"/>
      <c r="F134" s="38"/>
      <c r="G134" s="38"/>
      <c r="H134" s="38"/>
      <c r="I134" s="38"/>
      <c r="J134" s="38"/>
      <c r="K134" s="38"/>
      <c r="L134" s="238"/>
      <c r="M134" s="181"/>
      <c r="N134" s="38"/>
      <c r="O134" s="205"/>
      <c r="P134" s="38"/>
      <c r="Q134" s="38"/>
      <c r="R134" s="38"/>
      <c r="S134" s="38"/>
      <c r="T134" s="38"/>
      <c r="U134" s="38"/>
      <c r="V134" s="38"/>
      <c r="W134" s="38"/>
      <c r="X134" s="38"/>
      <c r="Y134" s="38"/>
      <c r="Z134" s="38"/>
      <c r="AA134" s="38"/>
      <c r="AB134" s="38"/>
      <c r="AC134" s="38"/>
      <c r="AD134" s="38"/>
      <c r="AE134" s="38"/>
      <c r="AF134" s="38"/>
      <c r="AG134" s="38"/>
    </row>
    <row r="135" spans="1:33" x14ac:dyDescent="0.25">
      <c r="A135" s="38"/>
      <c r="B135" s="38"/>
      <c r="C135" s="38"/>
      <c r="D135" s="268"/>
      <c r="E135" s="38"/>
      <c r="F135" s="38"/>
      <c r="G135" s="38"/>
      <c r="H135" s="38"/>
      <c r="I135" s="38"/>
      <c r="J135" s="38"/>
      <c r="K135" s="38"/>
      <c r="L135" s="238"/>
      <c r="M135" s="38"/>
      <c r="N135" s="38"/>
      <c r="O135" s="205"/>
      <c r="P135" s="38"/>
      <c r="Q135" s="38"/>
      <c r="R135" s="38"/>
      <c r="S135" s="38"/>
      <c r="T135" s="38"/>
      <c r="U135" s="38"/>
      <c r="V135" s="38"/>
      <c r="W135" s="38"/>
      <c r="X135" s="38"/>
      <c r="Y135" s="38"/>
      <c r="Z135" s="38"/>
      <c r="AA135" s="38"/>
      <c r="AB135" s="38"/>
      <c r="AC135" s="38"/>
      <c r="AD135" s="38"/>
      <c r="AE135" s="38"/>
      <c r="AF135" s="38"/>
      <c r="AG135" s="38"/>
    </row>
    <row r="136" spans="1:33" x14ac:dyDescent="0.25">
      <c r="A136" s="38"/>
      <c r="B136" s="38"/>
      <c r="C136" s="38"/>
      <c r="D136" s="268"/>
      <c r="E136" s="38"/>
      <c r="F136" s="38"/>
      <c r="G136" s="38"/>
      <c r="H136" s="38"/>
      <c r="I136" s="38"/>
      <c r="J136" s="38"/>
      <c r="K136" s="38"/>
      <c r="L136" s="238"/>
      <c r="M136" s="38"/>
      <c r="N136" s="38"/>
      <c r="O136" s="205"/>
      <c r="P136" s="38"/>
      <c r="Q136" s="38"/>
      <c r="R136" s="38"/>
      <c r="S136" s="38"/>
      <c r="T136" s="38"/>
      <c r="U136" s="38"/>
      <c r="V136" s="38"/>
      <c r="W136" s="38"/>
      <c r="X136" s="38"/>
      <c r="Y136" s="38"/>
      <c r="Z136" s="38"/>
      <c r="AA136" s="38"/>
      <c r="AB136" s="38"/>
      <c r="AC136" s="38"/>
      <c r="AD136" s="38"/>
      <c r="AE136" s="38"/>
      <c r="AF136" s="38"/>
      <c r="AG136" s="38"/>
    </row>
    <row r="137" spans="1:33" x14ac:dyDescent="0.25">
      <c r="A137" s="38"/>
      <c r="B137" s="38"/>
      <c r="C137" s="38"/>
      <c r="D137" s="268"/>
      <c r="E137" s="38"/>
      <c r="F137" s="38"/>
      <c r="G137" s="38"/>
      <c r="H137" s="38"/>
      <c r="I137" s="38"/>
      <c r="J137" s="38"/>
      <c r="K137" s="38"/>
      <c r="L137" s="238"/>
      <c r="M137" s="271"/>
      <c r="N137" s="38"/>
      <c r="O137" s="205"/>
      <c r="P137" s="38"/>
      <c r="Q137" s="38"/>
      <c r="R137" s="38"/>
      <c r="S137" s="38"/>
      <c r="T137" s="38"/>
      <c r="U137" s="38"/>
      <c r="V137" s="38"/>
      <c r="W137" s="38"/>
      <c r="X137" s="38"/>
      <c r="Y137" s="38"/>
      <c r="Z137" s="38"/>
      <c r="AA137" s="38"/>
      <c r="AB137" s="38"/>
      <c r="AC137" s="38"/>
      <c r="AD137" s="38"/>
      <c r="AE137" s="38"/>
      <c r="AF137" s="38"/>
      <c r="AG137" s="38"/>
    </row>
    <row r="138" spans="1:33" x14ac:dyDescent="0.25">
      <c r="A138" s="38"/>
      <c r="B138" s="38"/>
      <c r="C138" s="38"/>
      <c r="D138" s="268"/>
      <c r="E138" s="38"/>
      <c r="F138" s="38"/>
      <c r="G138" s="38"/>
      <c r="H138" s="38"/>
      <c r="I138" s="38"/>
      <c r="J138" s="38"/>
      <c r="K138" s="38"/>
      <c r="L138" s="38"/>
      <c r="M138" s="38"/>
      <c r="N138" s="38"/>
      <c r="O138" s="205"/>
      <c r="P138" s="38"/>
      <c r="Q138" s="38"/>
      <c r="R138" s="38"/>
      <c r="S138" s="38"/>
      <c r="T138" s="38"/>
      <c r="U138" s="38"/>
      <c r="V138" s="38"/>
      <c r="W138" s="38"/>
      <c r="X138" s="38"/>
      <c r="Y138" s="38"/>
      <c r="Z138" s="38"/>
      <c r="AA138" s="38"/>
      <c r="AB138" s="38"/>
      <c r="AC138" s="38"/>
      <c r="AD138" s="38"/>
      <c r="AE138" s="38"/>
      <c r="AF138" s="38"/>
      <c r="AG138" s="38"/>
    </row>
    <row r="139" spans="1:33" x14ac:dyDescent="0.25">
      <c r="A139" s="38"/>
      <c r="B139" s="38"/>
      <c r="C139" s="38"/>
      <c r="D139" s="268"/>
      <c r="E139" s="38"/>
      <c r="F139" s="38"/>
      <c r="G139" s="38"/>
      <c r="H139" s="38"/>
      <c r="I139" s="38"/>
      <c r="J139" s="38"/>
      <c r="K139" s="38"/>
      <c r="L139" s="38"/>
      <c r="M139" s="38"/>
      <c r="N139" s="38"/>
      <c r="O139" s="205"/>
      <c r="P139" s="38"/>
      <c r="Q139" s="38"/>
      <c r="R139" s="38"/>
      <c r="S139" s="38"/>
      <c r="T139" s="38"/>
      <c r="U139" s="38"/>
      <c r="V139" s="38"/>
      <c r="W139" s="38"/>
      <c r="X139" s="38"/>
      <c r="Y139" s="38"/>
      <c r="Z139" s="38"/>
      <c r="AA139" s="38"/>
      <c r="AB139" s="38"/>
      <c r="AC139" s="38"/>
      <c r="AD139" s="38"/>
      <c r="AE139" s="38"/>
      <c r="AF139" s="38"/>
      <c r="AG139" s="38"/>
    </row>
    <row r="140" spans="1:33" x14ac:dyDescent="0.25">
      <c r="A140" s="38"/>
      <c r="B140" s="38"/>
      <c r="C140" s="38"/>
      <c r="D140" s="268"/>
      <c r="E140" s="38"/>
      <c r="F140" s="38"/>
      <c r="G140" s="38"/>
      <c r="H140" s="38"/>
      <c r="I140" s="38"/>
      <c r="J140" s="38"/>
      <c r="K140" s="38"/>
      <c r="L140" s="38"/>
      <c r="M140" s="38"/>
      <c r="N140" s="38"/>
      <c r="O140" s="205"/>
      <c r="P140" s="38"/>
      <c r="Q140" s="38"/>
      <c r="R140" s="38"/>
      <c r="S140" s="38"/>
      <c r="T140" s="38"/>
      <c r="U140" s="38"/>
      <c r="V140" s="38"/>
      <c r="W140" s="38"/>
      <c r="X140" s="38"/>
      <c r="Y140" s="38"/>
      <c r="Z140" s="38"/>
      <c r="AA140" s="38"/>
      <c r="AB140" s="38"/>
      <c r="AC140" s="38"/>
      <c r="AD140" s="38"/>
      <c r="AE140" s="38"/>
      <c r="AF140" s="38"/>
      <c r="AG140" s="38"/>
    </row>
    <row r="141" spans="1:33" x14ac:dyDescent="0.25">
      <c r="A141" s="38"/>
      <c r="B141" s="38"/>
      <c r="C141" s="38"/>
      <c r="D141" s="268"/>
      <c r="E141" s="38"/>
      <c r="F141" s="38"/>
      <c r="G141" s="38"/>
      <c r="H141" s="38"/>
      <c r="I141" s="38"/>
      <c r="J141" s="38"/>
      <c r="K141" s="38"/>
      <c r="L141" s="38"/>
      <c r="M141" s="38"/>
      <c r="N141" s="38"/>
      <c r="O141" s="205"/>
      <c r="P141" s="38"/>
      <c r="Q141" s="38"/>
      <c r="R141" s="38"/>
      <c r="S141" s="38"/>
      <c r="T141" s="38"/>
      <c r="U141" s="38"/>
      <c r="V141" s="38"/>
      <c r="W141" s="38"/>
      <c r="X141" s="38"/>
      <c r="Y141" s="38"/>
      <c r="Z141" s="38"/>
      <c r="AA141" s="38"/>
      <c r="AB141" s="38"/>
      <c r="AC141" s="38"/>
      <c r="AD141" s="38"/>
      <c r="AE141" s="38"/>
      <c r="AF141" s="38"/>
      <c r="AG141" s="38"/>
    </row>
    <row r="142" spans="1:33" x14ac:dyDescent="0.25">
      <c r="A142" s="38"/>
      <c r="B142" s="38"/>
      <c r="C142" s="38"/>
      <c r="D142" s="268"/>
      <c r="E142" s="38"/>
      <c r="F142" s="38"/>
      <c r="G142" s="38"/>
      <c r="H142" s="38"/>
      <c r="I142" s="38"/>
      <c r="J142" s="38"/>
      <c r="K142" s="38"/>
      <c r="L142" s="38"/>
      <c r="M142" s="38"/>
      <c r="N142" s="38"/>
      <c r="O142" s="205"/>
      <c r="P142" s="38"/>
      <c r="Q142" s="38"/>
      <c r="R142" s="38"/>
      <c r="S142" s="38"/>
      <c r="T142" s="38"/>
      <c r="U142" s="38"/>
      <c r="V142" s="38"/>
      <c r="W142" s="38"/>
      <c r="X142" s="38"/>
      <c r="Y142" s="38"/>
      <c r="Z142" s="38"/>
      <c r="AA142" s="38"/>
      <c r="AB142" s="38"/>
      <c r="AC142" s="38"/>
      <c r="AD142" s="38"/>
      <c r="AE142" s="38"/>
      <c r="AF142" s="38"/>
      <c r="AG142" s="38"/>
    </row>
    <row r="143" spans="1:33" x14ac:dyDescent="0.25">
      <c r="A143" s="38"/>
      <c r="B143" s="38"/>
      <c r="C143" s="38"/>
      <c r="D143" s="268"/>
      <c r="E143" s="38"/>
      <c r="F143" s="38"/>
      <c r="G143" s="38"/>
      <c r="H143" s="38"/>
      <c r="I143" s="38"/>
      <c r="J143" s="38"/>
      <c r="K143" s="38"/>
      <c r="L143" s="38"/>
      <c r="M143" s="38"/>
      <c r="N143" s="38"/>
      <c r="O143" s="205"/>
      <c r="P143" s="38"/>
      <c r="Q143" s="38"/>
      <c r="R143" s="38"/>
      <c r="S143" s="38"/>
      <c r="T143" s="38"/>
      <c r="U143" s="38"/>
      <c r="V143" s="38"/>
      <c r="W143" s="38"/>
      <c r="X143" s="38"/>
      <c r="Y143" s="38"/>
      <c r="Z143" s="38"/>
      <c r="AA143" s="38"/>
      <c r="AB143" s="38"/>
      <c r="AC143" s="38"/>
      <c r="AD143" s="38"/>
      <c r="AE143" s="38"/>
      <c r="AF143" s="38"/>
      <c r="AG143" s="38"/>
    </row>
    <row r="144" spans="1:33" x14ac:dyDescent="0.25">
      <c r="A144" s="38"/>
      <c r="B144" s="38"/>
      <c r="C144" s="38"/>
      <c r="D144" s="268"/>
      <c r="E144" s="38"/>
      <c r="F144" s="38"/>
      <c r="G144" s="38"/>
      <c r="H144" s="238"/>
      <c r="I144" s="38"/>
      <c r="J144" s="38"/>
      <c r="K144" s="38"/>
      <c r="L144" s="38"/>
      <c r="M144" s="38"/>
      <c r="N144" s="38"/>
      <c r="O144" s="205"/>
      <c r="P144" s="38"/>
      <c r="Q144" s="38"/>
      <c r="R144" s="38"/>
      <c r="S144" s="38"/>
      <c r="T144" s="38"/>
      <c r="U144" s="38"/>
      <c r="V144" s="38"/>
      <c r="W144" s="38"/>
      <c r="X144" s="38"/>
      <c r="Y144" s="38"/>
      <c r="Z144" s="38"/>
      <c r="AA144" s="38"/>
      <c r="AB144" s="38"/>
      <c r="AC144" s="38"/>
      <c r="AD144" s="38"/>
      <c r="AE144" s="38"/>
      <c r="AF144" s="38"/>
      <c r="AG144" s="38"/>
    </row>
    <row r="145" spans="1:33" x14ac:dyDescent="0.25">
      <c r="A145" s="38"/>
      <c r="B145" s="38"/>
      <c r="C145" s="38"/>
      <c r="D145" s="268"/>
      <c r="E145" s="38"/>
      <c r="F145" s="38"/>
      <c r="G145" s="38"/>
      <c r="H145" s="38"/>
      <c r="I145" s="276"/>
      <c r="J145" s="38"/>
      <c r="K145" s="38"/>
      <c r="L145" s="38"/>
      <c r="M145" s="38"/>
      <c r="N145" s="38"/>
      <c r="O145" s="205"/>
      <c r="P145" s="38"/>
      <c r="Q145" s="38"/>
      <c r="R145" s="38"/>
      <c r="S145" s="38"/>
      <c r="T145" s="38"/>
      <c r="U145" s="38"/>
      <c r="V145" s="38"/>
      <c r="W145" s="38"/>
      <c r="X145" s="38"/>
      <c r="Y145" s="38"/>
      <c r="Z145" s="38"/>
      <c r="AA145" s="38"/>
      <c r="AB145" s="38"/>
      <c r="AC145" s="38"/>
      <c r="AD145" s="38"/>
      <c r="AE145" s="38"/>
      <c r="AF145" s="38"/>
      <c r="AG145" s="38"/>
    </row>
    <row r="146" spans="1:33" x14ac:dyDescent="0.25">
      <c r="A146" s="38"/>
      <c r="B146" s="38"/>
      <c r="C146" s="38"/>
      <c r="D146" s="268"/>
      <c r="E146" s="38"/>
      <c r="F146" s="38"/>
      <c r="G146" s="38"/>
      <c r="H146" s="238"/>
      <c r="I146" s="38"/>
      <c r="J146" s="38"/>
      <c r="K146" s="38"/>
      <c r="L146" s="38"/>
      <c r="M146" s="38"/>
      <c r="N146" s="38"/>
      <c r="O146" s="205"/>
      <c r="P146" s="38"/>
      <c r="Q146" s="38"/>
      <c r="R146" s="38"/>
      <c r="S146" s="38"/>
      <c r="T146" s="38"/>
      <c r="U146" s="38"/>
      <c r="V146" s="38"/>
      <c r="W146" s="38"/>
      <c r="X146" s="38"/>
      <c r="Y146" s="38"/>
      <c r="Z146" s="38"/>
      <c r="AA146" s="38"/>
      <c r="AB146" s="38"/>
      <c r="AC146" s="38"/>
      <c r="AD146" s="38"/>
      <c r="AE146" s="38"/>
      <c r="AF146" s="38"/>
      <c r="AG146" s="38"/>
    </row>
    <row r="147" spans="1:33" x14ac:dyDescent="0.25">
      <c r="A147" s="38"/>
      <c r="B147" s="38"/>
      <c r="C147" s="38"/>
      <c r="D147" s="268"/>
      <c r="E147" s="38"/>
      <c r="F147" s="38"/>
      <c r="G147" s="38"/>
      <c r="H147" s="38"/>
      <c r="I147" s="278"/>
      <c r="J147" s="38"/>
      <c r="K147" s="38"/>
      <c r="L147" s="38"/>
      <c r="M147" s="38"/>
      <c r="N147" s="38"/>
      <c r="O147" s="205"/>
      <c r="P147" s="38"/>
      <c r="Q147" s="38"/>
      <c r="R147" s="38"/>
      <c r="S147" s="38"/>
      <c r="T147" s="38"/>
      <c r="U147" s="38"/>
      <c r="V147" s="38"/>
      <c r="W147" s="38"/>
      <c r="X147" s="38"/>
      <c r="Y147" s="38"/>
      <c r="Z147" s="38"/>
      <c r="AA147" s="38"/>
      <c r="AB147" s="38"/>
      <c r="AC147" s="38"/>
      <c r="AD147" s="38"/>
      <c r="AE147" s="38"/>
      <c r="AF147" s="38"/>
      <c r="AG147" s="38"/>
    </row>
    <row r="148" spans="1:33" x14ac:dyDescent="0.25">
      <c r="A148" s="38"/>
      <c r="B148" s="38"/>
      <c r="C148" s="38"/>
      <c r="D148" s="268"/>
      <c r="E148" s="38"/>
      <c r="F148" s="38"/>
      <c r="G148" s="38"/>
      <c r="H148" s="238"/>
      <c r="I148" s="38"/>
      <c r="J148" s="38"/>
      <c r="K148" s="38"/>
      <c r="L148" s="38"/>
      <c r="M148" s="38"/>
      <c r="N148" s="38"/>
      <c r="O148" s="205"/>
      <c r="P148" s="38"/>
      <c r="Q148" s="38"/>
      <c r="R148" s="38"/>
      <c r="S148" s="38"/>
      <c r="T148" s="38"/>
      <c r="U148" s="38"/>
      <c r="V148" s="38"/>
      <c r="W148" s="38"/>
      <c r="X148" s="38"/>
      <c r="Y148" s="38"/>
      <c r="Z148" s="38"/>
      <c r="AA148" s="38"/>
      <c r="AB148" s="38"/>
      <c r="AC148" s="38"/>
      <c r="AD148" s="38"/>
      <c r="AE148" s="38"/>
      <c r="AF148" s="38"/>
      <c r="AG148" s="38"/>
    </row>
    <row r="149" spans="1:33" x14ac:dyDescent="0.25">
      <c r="A149" s="273"/>
      <c r="B149" s="38"/>
      <c r="C149" s="238"/>
      <c r="D149" s="247"/>
      <c r="E149" s="277"/>
      <c r="F149" s="277"/>
      <c r="G149" s="38"/>
      <c r="H149" s="38"/>
      <c r="I149" s="155"/>
      <c r="J149" s="38"/>
      <c r="K149" s="38"/>
      <c r="L149" s="38"/>
      <c r="M149" s="38"/>
      <c r="N149" s="38"/>
      <c r="O149" s="205"/>
      <c r="P149" s="38"/>
      <c r="Q149" s="38"/>
      <c r="R149" s="38"/>
      <c r="S149" s="38"/>
      <c r="T149" s="38"/>
      <c r="U149" s="38"/>
      <c r="V149" s="38"/>
      <c r="W149" s="38"/>
      <c r="X149" s="38"/>
      <c r="Y149" s="38"/>
      <c r="Z149" s="38"/>
      <c r="AA149" s="38"/>
      <c r="AB149" s="38"/>
      <c r="AC149" s="38"/>
      <c r="AD149" s="38"/>
      <c r="AE149" s="38"/>
      <c r="AF149" s="38"/>
      <c r="AG149" s="38"/>
    </row>
    <row r="150" spans="1:33" x14ac:dyDescent="0.25">
      <c r="A150" s="38"/>
      <c r="B150" s="38"/>
      <c r="C150" s="38"/>
      <c r="D150" s="268"/>
      <c r="E150" s="38"/>
      <c r="F150" s="38"/>
      <c r="G150" s="38"/>
      <c r="H150" s="38"/>
      <c r="I150" s="38"/>
      <c r="J150" s="38"/>
      <c r="K150" s="38"/>
      <c r="L150" s="38"/>
      <c r="M150" s="38"/>
      <c r="N150" s="38"/>
      <c r="O150" s="205"/>
      <c r="P150" s="38"/>
      <c r="Q150" s="38"/>
      <c r="R150" s="38"/>
      <c r="S150" s="38"/>
      <c r="T150" s="38"/>
      <c r="U150" s="38"/>
      <c r="V150" s="38"/>
      <c r="W150" s="38"/>
      <c r="X150" s="38"/>
      <c r="Y150" s="38"/>
      <c r="Z150" s="38"/>
      <c r="AA150" s="38"/>
      <c r="AB150" s="38"/>
      <c r="AC150" s="38"/>
      <c r="AD150" s="38"/>
      <c r="AE150" s="38"/>
      <c r="AF150" s="38"/>
      <c r="AG150" s="38"/>
    </row>
    <row r="151" spans="1:33" x14ac:dyDescent="0.25">
      <c r="A151" s="269"/>
      <c r="B151" s="38"/>
      <c r="C151" s="38"/>
      <c r="D151" s="268"/>
      <c r="E151" s="38"/>
      <c r="F151" s="38"/>
      <c r="G151" s="38"/>
      <c r="H151" s="38"/>
      <c r="I151" s="38"/>
      <c r="J151" s="38"/>
      <c r="K151" s="38"/>
      <c r="L151" s="38"/>
      <c r="M151" s="38"/>
      <c r="N151" s="38"/>
      <c r="O151" s="205"/>
      <c r="P151" s="38"/>
      <c r="Q151" s="38"/>
      <c r="R151" s="38"/>
      <c r="S151" s="38"/>
      <c r="T151" s="38"/>
      <c r="U151" s="38"/>
      <c r="V151" s="38"/>
      <c r="W151" s="38"/>
      <c r="X151" s="38"/>
      <c r="Y151" s="38"/>
      <c r="Z151" s="38"/>
      <c r="AA151" s="38"/>
      <c r="AB151" s="38"/>
      <c r="AC151" s="38"/>
      <c r="AD151" s="38"/>
      <c r="AE151" s="38"/>
      <c r="AF151" s="38"/>
      <c r="AG151" s="38"/>
    </row>
    <row r="152" spans="1:33" x14ac:dyDescent="0.25">
      <c r="A152" s="38"/>
      <c r="B152" s="38"/>
      <c r="C152" s="38"/>
      <c r="D152" s="268"/>
      <c r="E152" s="38"/>
      <c r="F152" s="38"/>
      <c r="G152" s="38"/>
      <c r="H152" s="38"/>
      <c r="I152" s="38"/>
      <c r="J152" s="38"/>
      <c r="K152" s="38"/>
      <c r="L152" s="38"/>
      <c r="M152" s="38"/>
      <c r="N152" s="38"/>
      <c r="O152" s="205"/>
      <c r="P152" s="38"/>
      <c r="Q152" s="38"/>
      <c r="R152" s="38"/>
      <c r="S152" s="38"/>
      <c r="T152" s="38"/>
      <c r="U152" s="38"/>
      <c r="V152" s="38"/>
      <c r="W152" s="38"/>
      <c r="X152" s="38"/>
      <c r="Y152" s="38"/>
      <c r="Z152" s="38"/>
      <c r="AA152" s="38"/>
      <c r="AB152" s="38"/>
      <c r="AC152" s="38"/>
      <c r="AD152" s="38"/>
      <c r="AE152" s="38"/>
      <c r="AF152" s="38"/>
      <c r="AG152" s="38"/>
    </row>
    <row r="153" spans="1:33" x14ac:dyDescent="0.25">
      <c r="A153" s="238"/>
      <c r="B153" s="269"/>
      <c r="C153" s="38"/>
      <c r="D153" s="268"/>
      <c r="E153" s="38"/>
      <c r="F153" s="38"/>
      <c r="G153" s="38"/>
      <c r="H153" s="244"/>
      <c r="I153" s="38"/>
      <c r="J153" s="38"/>
      <c r="K153" s="38"/>
      <c r="L153" s="38"/>
      <c r="M153" s="38"/>
      <c r="N153" s="269"/>
      <c r="O153" s="205"/>
      <c r="P153" s="38"/>
      <c r="Q153" s="38"/>
      <c r="R153" s="38"/>
      <c r="S153" s="38"/>
      <c r="T153" s="38"/>
      <c r="U153" s="38"/>
      <c r="V153" s="38"/>
      <c r="W153" s="38"/>
      <c r="X153" s="38"/>
      <c r="Y153" s="38"/>
      <c r="Z153" s="38"/>
      <c r="AA153" s="38"/>
      <c r="AB153" s="38"/>
      <c r="AC153" s="38"/>
      <c r="AD153" s="38"/>
      <c r="AE153" s="38"/>
      <c r="AF153" s="38"/>
      <c r="AG153" s="38"/>
    </row>
    <row r="154" spans="1:33" x14ac:dyDescent="0.25">
      <c r="A154" s="238"/>
      <c r="B154" s="269"/>
      <c r="C154" s="38"/>
      <c r="D154" s="268"/>
      <c r="E154" s="38"/>
      <c r="F154" s="38"/>
      <c r="G154" s="38"/>
      <c r="H154" s="38"/>
      <c r="I154" s="243"/>
      <c r="J154" s="38"/>
      <c r="K154" s="38"/>
      <c r="L154" s="38"/>
      <c r="M154" s="38"/>
      <c r="N154" s="38"/>
      <c r="O154" s="205"/>
      <c r="P154" s="38"/>
      <c r="Q154" s="38"/>
      <c r="R154" s="38"/>
      <c r="S154" s="38"/>
      <c r="T154" s="38"/>
      <c r="U154" s="38"/>
      <c r="V154" s="38"/>
      <c r="W154" s="38"/>
      <c r="X154" s="38"/>
      <c r="Y154" s="38"/>
      <c r="Z154" s="38"/>
      <c r="AA154" s="38"/>
      <c r="AB154" s="38"/>
      <c r="AC154" s="38"/>
      <c r="AD154" s="38"/>
      <c r="AE154" s="38"/>
      <c r="AF154" s="38"/>
      <c r="AG154" s="38"/>
    </row>
    <row r="155" spans="1:33" x14ac:dyDescent="0.25">
      <c r="A155" s="238"/>
      <c r="B155" s="269"/>
      <c r="C155" s="38"/>
      <c r="D155" s="268"/>
      <c r="E155" s="38"/>
      <c r="F155" s="38"/>
      <c r="G155" s="38"/>
      <c r="H155" s="38"/>
      <c r="I155" s="38"/>
      <c r="J155" s="38"/>
      <c r="K155" s="38"/>
      <c r="L155" s="38"/>
      <c r="M155" s="38"/>
      <c r="N155" s="38"/>
      <c r="O155" s="205"/>
      <c r="P155" s="38"/>
      <c r="Q155" s="38"/>
      <c r="R155" s="38"/>
      <c r="S155" s="38"/>
      <c r="T155" s="38"/>
      <c r="U155" s="38"/>
      <c r="V155" s="38"/>
      <c r="W155" s="38"/>
      <c r="X155" s="38"/>
      <c r="Y155" s="38"/>
      <c r="Z155" s="38"/>
      <c r="AA155" s="38"/>
      <c r="AB155" s="38"/>
      <c r="AC155" s="38"/>
      <c r="AD155" s="38"/>
      <c r="AE155" s="38"/>
      <c r="AF155" s="38"/>
      <c r="AG155" s="38"/>
    </row>
    <row r="156" spans="1:33" x14ac:dyDescent="0.25">
      <c r="A156" s="38"/>
      <c r="B156" s="38"/>
      <c r="C156" s="38"/>
      <c r="D156" s="268"/>
      <c r="E156" s="38"/>
      <c r="F156" s="38"/>
      <c r="G156" s="38"/>
      <c r="H156" s="38"/>
      <c r="I156" s="38"/>
      <c r="J156" s="244"/>
      <c r="K156" s="244"/>
      <c r="L156" s="244"/>
      <c r="M156" s="244"/>
      <c r="N156" s="244"/>
      <c r="O156" s="205"/>
      <c r="P156" s="38"/>
      <c r="Q156" s="38"/>
      <c r="R156" s="38"/>
      <c r="S156" s="38"/>
      <c r="T156" s="38"/>
      <c r="U156" s="38"/>
      <c r="V156" s="38"/>
      <c r="W156" s="38"/>
      <c r="X156" s="38"/>
      <c r="Y156" s="38"/>
      <c r="Z156" s="38"/>
      <c r="AA156" s="38"/>
      <c r="AB156" s="38"/>
      <c r="AC156" s="38"/>
      <c r="AD156" s="38"/>
      <c r="AE156" s="38"/>
      <c r="AF156" s="38"/>
      <c r="AG156" s="38"/>
    </row>
    <row r="157" spans="1:33" x14ac:dyDescent="0.25">
      <c r="A157" s="38"/>
      <c r="B157" s="38"/>
      <c r="C157" s="38"/>
      <c r="D157" s="268"/>
      <c r="E157" s="38"/>
      <c r="F157" s="38"/>
      <c r="G157" s="38"/>
      <c r="H157" s="38"/>
      <c r="I157" s="38"/>
      <c r="J157" s="38"/>
      <c r="K157" s="38"/>
      <c r="L157" s="38"/>
      <c r="M157" s="38"/>
      <c r="N157" s="38"/>
      <c r="O157" s="205"/>
      <c r="P157" s="38"/>
      <c r="Q157" s="38"/>
      <c r="R157" s="38"/>
      <c r="S157" s="38"/>
      <c r="T157" s="38"/>
      <c r="U157" s="38"/>
      <c r="V157" s="38"/>
      <c r="W157" s="38"/>
      <c r="X157" s="38"/>
      <c r="Y157" s="38"/>
      <c r="Z157" s="38"/>
      <c r="AA157" s="38"/>
      <c r="AB157" s="38"/>
      <c r="AC157" s="38"/>
      <c r="AD157" s="38"/>
      <c r="AE157" s="38"/>
      <c r="AF157" s="38"/>
      <c r="AG157" s="38"/>
    </row>
    <row r="158" spans="1:33" x14ac:dyDescent="0.25">
      <c r="A158" s="244"/>
      <c r="B158" s="244"/>
      <c r="C158" s="244"/>
      <c r="D158" s="291"/>
      <c r="E158" s="244"/>
      <c r="F158" s="244"/>
      <c r="G158" s="244"/>
      <c r="H158" s="38"/>
      <c r="I158" s="38"/>
      <c r="J158" s="38"/>
      <c r="K158" s="38"/>
      <c r="L158" s="38"/>
      <c r="M158" s="38"/>
      <c r="N158" s="38"/>
      <c r="O158" s="205"/>
      <c r="P158" s="38"/>
      <c r="Q158" s="38"/>
      <c r="R158" s="38"/>
      <c r="S158" s="38"/>
      <c r="T158" s="38"/>
      <c r="U158" s="38"/>
      <c r="V158" s="38"/>
      <c r="W158" s="38"/>
      <c r="X158" s="38"/>
      <c r="Y158" s="38"/>
      <c r="Z158" s="38"/>
      <c r="AA158" s="38"/>
      <c r="AB158" s="38"/>
      <c r="AC158" s="38"/>
      <c r="AD158" s="38"/>
      <c r="AE158" s="38"/>
      <c r="AF158" s="38"/>
      <c r="AG158" s="38"/>
    </row>
    <row r="159" spans="1:33" x14ac:dyDescent="0.25">
      <c r="A159" s="38"/>
      <c r="B159" s="38"/>
      <c r="C159" s="38"/>
      <c r="D159" s="268"/>
      <c r="E159" s="38"/>
      <c r="F159" s="38"/>
      <c r="G159" s="38"/>
      <c r="H159" s="38"/>
      <c r="I159" s="38"/>
      <c r="J159" s="38"/>
      <c r="K159" s="38"/>
      <c r="L159" s="38"/>
      <c r="M159" s="38"/>
      <c r="N159" s="38"/>
      <c r="O159" s="205"/>
      <c r="P159" s="38"/>
      <c r="Q159" s="38"/>
      <c r="R159" s="38"/>
      <c r="S159" s="38"/>
      <c r="T159" s="38"/>
      <c r="U159" s="38"/>
      <c r="V159" s="38"/>
      <c r="W159" s="38"/>
      <c r="X159" s="38"/>
      <c r="Y159" s="38"/>
      <c r="Z159" s="38"/>
      <c r="AA159" s="38"/>
      <c r="AB159" s="38"/>
      <c r="AC159" s="38"/>
      <c r="AD159" s="38"/>
      <c r="AE159" s="38"/>
      <c r="AF159" s="38"/>
      <c r="AG159" s="38"/>
    </row>
    <row r="160" spans="1:33" x14ac:dyDescent="0.25">
      <c r="A160" s="38"/>
      <c r="B160" s="38"/>
      <c r="C160" s="38"/>
      <c r="D160" s="268"/>
      <c r="E160" s="38"/>
      <c r="F160" s="38"/>
      <c r="G160" s="38"/>
      <c r="H160" s="38"/>
      <c r="I160" s="38"/>
      <c r="J160" s="38"/>
      <c r="K160" s="38"/>
      <c r="L160" s="38"/>
      <c r="M160" s="38"/>
      <c r="N160" s="38"/>
      <c r="O160" s="205"/>
      <c r="P160" s="38"/>
      <c r="Q160" s="38"/>
      <c r="R160" s="38"/>
      <c r="S160" s="38"/>
      <c r="T160" s="38"/>
      <c r="U160" s="38"/>
      <c r="V160" s="38"/>
      <c r="W160" s="38"/>
      <c r="X160" s="38"/>
      <c r="Y160" s="38"/>
      <c r="Z160" s="38"/>
      <c r="AA160" s="38"/>
      <c r="AB160" s="38"/>
      <c r="AC160" s="38"/>
      <c r="AD160" s="38"/>
      <c r="AE160" s="38"/>
      <c r="AF160" s="38"/>
      <c r="AG160" s="38"/>
    </row>
    <row r="161" spans="1:33" x14ac:dyDescent="0.25">
      <c r="A161" s="38"/>
      <c r="B161" s="38"/>
      <c r="C161" s="38"/>
      <c r="D161" s="268"/>
      <c r="E161" s="38"/>
      <c r="F161" s="38"/>
      <c r="G161" s="38"/>
      <c r="H161" s="38"/>
      <c r="I161" s="38"/>
      <c r="J161" s="38"/>
      <c r="K161" s="38"/>
      <c r="L161" s="38"/>
      <c r="M161" s="38"/>
      <c r="N161" s="38"/>
      <c r="O161" s="205"/>
      <c r="P161" s="38"/>
      <c r="Q161" s="38"/>
      <c r="R161" s="38"/>
      <c r="S161" s="38"/>
      <c r="T161" s="38"/>
      <c r="U161" s="38"/>
      <c r="V161" s="38"/>
      <c r="W161" s="38"/>
      <c r="X161" s="38"/>
      <c r="Y161" s="38"/>
      <c r="Z161" s="38"/>
      <c r="AA161" s="38"/>
      <c r="AB161" s="38"/>
      <c r="AC161" s="38"/>
      <c r="AD161" s="38"/>
      <c r="AE161" s="38"/>
      <c r="AF161" s="38"/>
      <c r="AG161" s="38"/>
    </row>
    <row r="162" spans="1:33" x14ac:dyDescent="0.25">
      <c r="A162" s="38"/>
      <c r="B162" s="38"/>
      <c r="C162" s="38"/>
      <c r="D162" s="268"/>
      <c r="E162" s="38"/>
      <c r="F162" s="38"/>
      <c r="G162" s="38"/>
      <c r="H162" s="38"/>
      <c r="I162" s="38"/>
      <c r="J162" s="38"/>
      <c r="K162" s="38"/>
      <c r="L162" s="38"/>
      <c r="M162" s="38"/>
      <c r="N162" s="38"/>
      <c r="O162" s="205"/>
      <c r="P162" s="38"/>
      <c r="Q162" s="38"/>
      <c r="R162" s="38"/>
      <c r="S162" s="38"/>
      <c r="T162" s="38"/>
      <c r="U162" s="38"/>
      <c r="V162" s="38"/>
      <c r="W162" s="38"/>
      <c r="X162" s="38"/>
      <c r="Y162" s="38"/>
      <c r="Z162" s="38"/>
      <c r="AA162" s="38"/>
      <c r="AB162" s="38"/>
      <c r="AC162" s="38"/>
      <c r="AD162" s="38"/>
      <c r="AE162" s="38"/>
      <c r="AF162" s="38"/>
      <c r="AG162" s="38"/>
    </row>
    <row r="163" spans="1:33" x14ac:dyDescent="0.25">
      <c r="A163" s="38"/>
      <c r="B163" s="38"/>
      <c r="C163" s="38"/>
      <c r="D163" s="268"/>
      <c r="E163" s="38"/>
      <c r="F163" s="38"/>
      <c r="G163" s="38"/>
      <c r="H163" s="38"/>
      <c r="I163" s="38"/>
      <c r="J163" s="38"/>
      <c r="K163" s="38"/>
      <c r="L163" s="38"/>
      <c r="M163" s="38"/>
      <c r="N163" s="38"/>
      <c r="O163" s="205"/>
      <c r="P163" s="38"/>
      <c r="Q163" s="38"/>
      <c r="R163" s="38"/>
      <c r="S163" s="38"/>
      <c r="T163" s="38"/>
      <c r="U163" s="38"/>
      <c r="V163" s="38"/>
      <c r="W163" s="38"/>
      <c r="X163" s="38"/>
      <c r="Y163" s="38"/>
      <c r="Z163" s="38"/>
      <c r="AA163" s="38"/>
      <c r="AB163" s="38"/>
      <c r="AC163" s="38"/>
      <c r="AD163" s="38"/>
      <c r="AE163" s="38"/>
      <c r="AF163" s="38"/>
      <c r="AG163" s="38"/>
    </row>
    <row r="164" spans="1:33" x14ac:dyDescent="0.25">
      <c r="A164" s="38"/>
      <c r="B164" s="38"/>
      <c r="C164" s="38"/>
      <c r="D164" s="268"/>
      <c r="E164" s="38"/>
      <c r="F164" s="38"/>
      <c r="G164" s="38"/>
      <c r="H164" s="38"/>
      <c r="I164" s="38"/>
      <c r="J164" s="38"/>
      <c r="K164" s="38"/>
      <c r="L164" s="38"/>
      <c r="M164" s="38"/>
      <c r="N164" s="38"/>
      <c r="O164" s="205"/>
      <c r="P164" s="38"/>
      <c r="Q164" s="38"/>
      <c r="R164" s="38"/>
      <c r="S164" s="38"/>
      <c r="T164" s="38"/>
      <c r="U164" s="38"/>
      <c r="V164" s="38"/>
      <c r="W164" s="38"/>
      <c r="X164" s="38"/>
      <c r="Y164" s="38"/>
      <c r="Z164" s="38"/>
      <c r="AA164" s="38"/>
      <c r="AB164" s="38"/>
      <c r="AC164" s="38"/>
      <c r="AD164" s="38"/>
      <c r="AE164" s="38"/>
      <c r="AF164" s="38"/>
      <c r="AG164" s="38"/>
    </row>
    <row r="165" spans="1:33" x14ac:dyDescent="0.25">
      <c r="A165" s="38"/>
      <c r="B165" s="38"/>
      <c r="C165" s="38"/>
      <c r="D165" s="268"/>
      <c r="E165" s="38"/>
      <c r="F165" s="38"/>
      <c r="G165" s="38"/>
      <c r="H165" s="38"/>
      <c r="I165" s="38"/>
      <c r="J165" s="38"/>
      <c r="K165" s="38"/>
      <c r="L165" s="38"/>
      <c r="M165" s="38"/>
      <c r="N165" s="38"/>
      <c r="O165" s="205"/>
      <c r="P165" s="38"/>
      <c r="Q165" s="38"/>
      <c r="R165" s="38"/>
      <c r="S165" s="38"/>
      <c r="T165" s="38"/>
      <c r="U165" s="38"/>
      <c r="V165" s="38"/>
      <c r="W165" s="38"/>
      <c r="X165" s="38"/>
      <c r="Y165" s="38"/>
      <c r="Z165" s="38"/>
      <c r="AA165" s="38"/>
      <c r="AB165" s="38"/>
      <c r="AC165" s="38"/>
      <c r="AD165" s="38"/>
      <c r="AE165" s="38"/>
      <c r="AF165" s="38"/>
      <c r="AG165" s="38"/>
    </row>
    <row r="166" spans="1:33" x14ac:dyDescent="0.25">
      <c r="A166" s="38"/>
      <c r="B166" s="38"/>
      <c r="C166" s="38"/>
      <c r="D166" s="268"/>
      <c r="E166" s="38"/>
      <c r="F166" s="38"/>
      <c r="G166" s="38"/>
      <c r="H166" s="38"/>
      <c r="I166" s="38"/>
      <c r="J166" s="38"/>
      <c r="K166" s="38"/>
      <c r="L166" s="38"/>
      <c r="M166" s="38"/>
      <c r="N166" s="38"/>
      <c r="O166" s="205"/>
      <c r="P166" s="38"/>
      <c r="Q166" s="38"/>
      <c r="R166" s="38"/>
      <c r="S166" s="38"/>
      <c r="T166" s="38"/>
      <c r="U166" s="38"/>
      <c r="V166" s="38"/>
      <c r="W166" s="38"/>
      <c r="X166" s="38"/>
      <c r="Y166" s="38"/>
      <c r="Z166" s="38"/>
      <c r="AA166" s="38"/>
      <c r="AB166" s="38"/>
      <c r="AC166" s="38"/>
      <c r="AD166" s="38"/>
      <c r="AE166" s="38"/>
      <c r="AF166" s="38"/>
      <c r="AG166" s="38"/>
    </row>
    <row r="167" spans="1:33" x14ac:dyDescent="0.25">
      <c r="A167" s="38"/>
      <c r="B167" s="38"/>
      <c r="C167" s="38"/>
      <c r="D167" s="268"/>
      <c r="E167" s="38"/>
      <c r="F167" s="38"/>
      <c r="G167" s="38"/>
      <c r="H167" s="38"/>
      <c r="I167" s="38"/>
      <c r="J167" s="38"/>
      <c r="K167" s="38"/>
      <c r="L167" s="38"/>
      <c r="M167" s="38"/>
      <c r="N167" s="38"/>
      <c r="O167" s="205"/>
      <c r="P167" s="38"/>
      <c r="Q167" s="38"/>
      <c r="R167" s="38"/>
      <c r="S167" s="38"/>
      <c r="T167" s="38"/>
      <c r="U167" s="38"/>
      <c r="V167" s="38"/>
      <c r="W167" s="38"/>
      <c r="X167" s="38"/>
      <c r="Y167" s="38"/>
      <c r="Z167" s="38"/>
      <c r="AA167" s="38"/>
      <c r="AB167" s="38"/>
      <c r="AC167" s="38"/>
      <c r="AD167" s="38"/>
      <c r="AE167" s="38"/>
      <c r="AF167" s="38"/>
      <c r="AG167" s="38"/>
    </row>
    <row r="168" spans="1:33" x14ac:dyDescent="0.25">
      <c r="A168" s="38"/>
      <c r="B168" s="38"/>
      <c r="C168" s="38"/>
      <c r="D168" s="268"/>
      <c r="E168" s="38"/>
      <c r="F168" s="38"/>
      <c r="G168" s="38"/>
      <c r="H168" s="38"/>
      <c r="I168" s="38"/>
      <c r="J168" s="38"/>
      <c r="K168" s="38"/>
      <c r="L168" s="38"/>
      <c r="M168" s="38"/>
      <c r="N168" s="38"/>
      <c r="O168" s="205"/>
      <c r="P168" s="38"/>
      <c r="Q168" s="38"/>
      <c r="R168" s="38"/>
      <c r="S168" s="38"/>
      <c r="T168" s="38"/>
      <c r="U168" s="38"/>
      <c r="V168" s="38"/>
      <c r="W168" s="38"/>
      <c r="X168" s="38"/>
      <c r="Y168" s="38"/>
      <c r="Z168" s="38"/>
      <c r="AA168" s="38"/>
      <c r="AB168" s="38"/>
      <c r="AC168" s="38"/>
      <c r="AD168" s="38"/>
      <c r="AE168" s="38"/>
      <c r="AF168" s="38"/>
      <c r="AG168" s="38"/>
    </row>
    <row r="169" spans="1:33" x14ac:dyDescent="0.25">
      <c r="A169" s="38"/>
      <c r="B169" s="38"/>
      <c r="C169" s="38"/>
      <c r="D169" s="268"/>
      <c r="E169" s="38"/>
      <c r="F169" s="38"/>
      <c r="G169" s="38"/>
      <c r="H169" s="38"/>
      <c r="I169" s="38"/>
      <c r="J169" s="38"/>
      <c r="K169" s="38"/>
      <c r="L169" s="38"/>
      <c r="M169" s="38"/>
      <c r="N169" s="38"/>
      <c r="O169" s="205"/>
      <c r="P169" s="38"/>
      <c r="Q169" s="38"/>
      <c r="R169" s="38"/>
      <c r="S169" s="38"/>
      <c r="T169" s="38"/>
      <c r="U169" s="38"/>
      <c r="V169" s="38"/>
      <c r="W169" s="38"/>
      <c r="X169" s="38"/>
      <c r="Y169" s="38"/>
      <c r="Z169" s="38"/>
      <c r="AA169" s="38"/>
      <c r="AB169" s="38"/>
      <c r="AC169" s="38"/>
      <c r="AD169" s="38"/>
      <c r="AE169" s="38"/>
      <c r="AF169" s="38"/>
      <c r="AG169" s="38"/>
    </row>
    <row r="170" spans="1:33" x14ac:dyDescent="0.25">
      <c r="A170" s="38"/>
      <c r="B170" s="38"/>
      <c r="C170" s="38"/>
      <c r="D170" s="268"/>
      <c r="E170" s="38"/>
      <c r="F170" s="38"/>
      <c r="G170" s="38"/>
      <c r="H170" s="38"/>
      <c r="I170" s="38"/>
      <c r="J170" s="38"/>
      <c r="K170" s="38"/>
      <c r="L170" s="38"/>
      <c r="M170" s="38"/>
      <c r="N170" s="38"/>
      <c r="O170" s="205"/>
      <c r="P170" s="38"/>
      <c r="Q170" s="38"/>
      <c r="R170" s="38"/>
      <c r="S170" s="38"/>
      <c r="T170" s="38"/>
      <c r="U170" s="38"/>
      <c r="V170" s="38"/>
      <c r="W170" s="38"/>
      <c r="X170" s="38"/>
      <c r="Y170" s="38"/>
      <c r="Z170" s="38"/>
      <c r="AA170" s="38"/>
      <c r="AB170" s="38"/>
      <c r="AC170" s="38"/>
      <c r="AD170" s="38"/>
      <c r="AE170" s="38"/>
      <c r="AF170" s="38"/>
      <c r="AG170" s="38"/>
    </row>
    <row r="171" spans="1:33" x14ac:dyDescent="0.25">
      <c r="A171" s="38"/>
      <c r="B171" s="38"/>
      <c r="C171" s="38"/>
      <c r="D171" s="268"/>
      <c r="E171" s="38"/>
      <c r="F171" s="38"/>
      <c r="G171" s="38"/>
      <c r="H171" s="38"/>
      <c r="I171" s="38"/>
      <c r="J171" s="38"/>
      <c r="K171" s="38"/>
      <c r="L171" s="38"/>
      <c r="M171" s="38"/>
      <c r="N171" s="38"/>
      <c r="O171" s="205"/>
      <c r="P171" s="38"/>
      <c r="Q171" s="38"/>
      <c r="R171" s="38"/>
      <c r="S171" s="38"/>
      <c r="T171" s="38"/>
      <c r="U171" s="38"/>
      <c r="V171" s="38"/>
      <c r="W171" s="38"/>
      <c r="X171" s="38"/>
      <c r="Y171" s="38"/>
      <c r="Z171" s="38"/>
      <c r="AA171" s="38"/>
      <c r="AB171" s="38"/>
      <c r="AC171" s="38"/>
      <c r="AD171" s="38"/>
      <c r="AE171" s="38"/>
      <c r="AF171" s="38"/>
      <c r="AG171" s="38"/>
    </row>
    <row r="172" spans="1:33" x14ac:dyDescent="0.25">
      <c r="A172" s="38"/>
      <c r="B172" s="38"/>
      <c r="C172" s="38"/>
      <c r="D172" s="268"/>
      <c r="E172" s="38"/>
      <c r="F172" s="38"/>
      <c r="G172" s="38"/>
      <c r="H172" s="38"/>
      <c r="I172" s="38"/>
      <c r="J172" s="38"/>
      <c r="K172" s="38"/>
      <c r="L172" s="38"/>
      <c r="M172" s="38"/>
      <c r="N172" s="38"/>
      <c r="O172" s="205"/>
      <c r="P172" s="38"/>
      <c r="Q172" s="38"/>
      <c r="R172" s="38"/>
      <c r="S172" s="38"/>
      <c r="T172" s="38"/>
      <c r="U172" s="38"/>
      <c r="V172" s="38"/>
      <c r="W172" s="38"/>
      <c r="X172" s="38"/>
      <c r="Y172" s="38"/>
      <c r="Z172" s="38"/>
      <c r="AA172" s="38"/>
      <c r="AB172" s="38"/>
      <c r="AC172" s="38"/>
      <c r="AD172" s="38"/>
      <c r="AE172" s="38"/>
      <c r="AF172" s="38"/>
      <c r="AG172" s="38"/>
    </row>
    <row r="173" spans="1:33" x14ac:dyDescent="0.25">
      <c r="A173" s="38"/>
      <c r="B173" s="38"/>
      <c r="C173" s="38"/>
      <c r="D173" s="268"/>
      <c r="E173" s="38"/>
      <c r="F173" s="38"/>
      <c r="G173" s="38"/>
      <c r="H173" s="38"/>
      <c r="I173" s="38"/>
      <c r="J173" s="38"/>
      <c r="K173" s="38"/>
      <c r="L173" s="38"/>
      <c r="M173" s="38"/>
      <c r="N173" s="38"/>
      <c r="O173" s="205"/>
      <c r="P173" s="38"/>
      <c r="Q173" s="38"/>
      <c r="R173" s="38"/>
      <c r="S173" s="38"/>
      <c r="T173" s="38"/>
      <c r="U173" s="38"/>
      <c r="V173" s="38"/>
      <c r="W173" s="38"/>
      <c r="X173" s="38"/>
      <c r="Y173" s="38"/>
      <c r="Z173" s="38"/>
      <c r="AA173" s="38"/>
      <c r="AB173" s="38"/>
      <c r="AC173" s="38"/>
      <c r="AD173" s="38"/>
      <c r="AE173" s="38"/>
      <c r="AF173" s="38"/>
      <c r="AG173" s="38"/>
    </row>
    <row r="174" spans="1:33" x14ac:dyDescent="0.25">
      <c r="A174" s="38"/>
      <c r="B174" s="38"/>
      <c r="C174" s="38"/>
      <c r="D174" s="268"/>
      <c r="E174" s="38"/>
      <c r="F174" s="38"/>
      <c r="G174" s="38"/>
      <c r="H174" s="38"/>
      <c r="I174" s="38"/>
      <c r="J174" s="38"/>
      <c r="K174" s="38"/>
      <c r="L174" s="38"/>
      <c r="M174" s="38"/>
      <c r="N174" s="38"/>
      <c r="O174" s="205"/>
      <c r="P174" s="38"/>
      <c r="Q174" s="38"/>
      <c r="R174" s="38"/>
      <c r="S174" s="38"/>
      <c r="T174" s="38"/>
      <c r="U174" s="38"/>
      <c r="V174" s="38"/>
      <c r="W174" s="38"/>
      <c r="X174" s="38"/>
      <c r="Y174" s="38"/>
      <c r="Z174" s="38"/>
      <c r="AA174" s="38"/>
      <c r="AB174" s="38"/>
      <c r="AC174" s="38"/>
      <c r="AD174" s="38"/>
      <c r="AE174" s="38"/>
      <c r="AF174" s="38"/>
      <c r="AG174" s="38"/>
    </row>
    <row r="175" spans="1:33" x14ac:dyDescent="0.25">
      <c r="A175" s="38"/>
      <c r="B175" s="38"/>
      <c r="C175" s="38"/>
      <c r="D175" s="268"/>
      <c r="E175" s="38"/>
      <c r="F175" s="38"/>
      <c r="G175" s="38"/>
      <c r="H175" s="38"/>
      <c r="I175" s="38"/>
      <c r="J175" s="38"/>
      <c r="K175" s="38"/>
      <c r="L175" s="38"/>
      <c r="M175" s="38"/>
      <c r="N175" s="38"/>
      <c r="O175" s="205"/>
      <c r="P175" s="38"/>
      <c r="Q175" s="38"/>
      <c r="R175" s="38"/>
      <c r="S175" s="38"/>
      <c r="T175" s="38"/>
      <c r="U175" s="38"/>
      <c r="V175" s="38"/>
      <c r="W175" s="38"/>
      <c r="X175" s="38"/>
      <c r="Y175" s="38"/>
      <c r="Z175" s="38"/>
      <c r="AA175" s="38"/>
      <c r="AB175" s="38"/>
      <c r="AC175" s="38"/>
      <c r="AD175" s="38"/>
      <c r="AE175" s="38"/>
      <c r="AF175" s="38"/>
      <c r="AG175" s="38"/>
    </row>
    <row r="176" spans="1:33" x14ac:dyDescent="0.25">
      <c r="A176" s="38"/>
      <c r="B176" s="38"/>
      <c r="C176" s="38"/>
      <c r="D176" s="268"/>
      <c r="E176" s="38"/>
      <c r="F176" s="38"/>
      <c r="G176" s="38"/>
      <c r="H176" s="38"/>
      <c r="I176" s="38"/>
      <c r="J176" s="38"/>
      <c r="K176" s="38"/>
      <c r="L176" s="38"/>
      <c r="M176" s="38"/>
      <c r="N176" s="38"/>
      <c r="O176" s="205"/>
      <c r="P176" s="38"/>
      <c r="Q176" s="38"/>
      <c r="R176" s="38"/>
      <c r="S176" s="38"/>
      <c r="T176" s="38"/>
      <c r="U176" s="38"/>
      <c r="V176" s="38"/>
      <c r="W176" s="38"/>
      <c r="X176" s="38"/>
      <c r="Y176" s="38"/>
      <c r="Z176" s="38"/>
      <c r="AA176" s="38"/>
      <c r="AB176" s="38"/>
      <c r="AC176" s="38"/>
      <c r="AD176" s="38"/>
      <c r="AE176" s="38"/>
      <c r="AF176" s="38"/>
      <c r="AG176" s="38"/>
    </row>
    <row r="177" spans="1:33" x14ac:dyDescent="0.25">
      <c r="A177" s="38"/>
      <c r="B177" s="38"/>
      <c r="C177" s="38"/>
      <c r="D177" s="268"/>
      <c r="E177" s="38"/>
      <c r="F177" s="38"/>
      <c r="G177" s="38"/>
      <c r="H177" s="38"/>
      <c r="I177" s="38"/>
      <c r="J177" s="38"/>
      <c r="K177" s="38"/>
      <c r="L177" s="38"/>
      <c r="M177" s="38"/>
      <c r="N177" s="38"/>
      <c r="O177" s="205"/>
      <c r="P177" s="38"/>
      <c r="Q177" s="38"/>
      <c r="R177" s="38"/>
      <c r="S177" s="38"/>
      <c r="T177" s="38"/>
      <c r="U177" s="38"/>
      <c r="V177" s="38"/>
      <c r="W177" s="38"/>
      <c r="X177" s="38"/>
      <c r="Y177" s="38"/>
      <c r="Z177" s="38"/>
      <c r="AA177" s="38"/>
      <c r="AB177" s="38"/>
      <c r="AC177" s="38"/>
      <c r="AD177" s="38"/>
      <c r="AE177" s="38"/>
      <c r="AF177" s="38"/>
      <c r="AG177" s="38"/>
    </row>
    <row r="178" spans="1:33" x14ac:dyDescent="0.25">
      <c r="A178" s="38"/>
      <c r="B178" s="38"/>
      <c r="C178" s="38"/>
      <c r="D178" s="268"/>
      <c r="E178" s="38"/>
      <c r="F178" s="38"/>
      <c r="G178" s="38"/>
      <c r="H178" s="38"/>
      <c r="I178" s="38"/>
      <c r="J178" s="38"/>
      <c r="K178" s="38"/>
      <c r="L178" s="38"/>
      <c r="M178" s="38"/>
      <c r="N178" s="38"/>
      <c r="O178" s="205"/>
      <c r="P178" s="38"/>
      <c r="Q178" s="38"/>
      <c r="R178" s="38"/>
      <c r="S178" s="38"/>
      <c r="T178" s="38"/>
      <c r="U178" s="38"/>
      <c r="V178" s="38"/>
      <c r="W178" s="38"/>
      <c r="X178" s="38"/>
      <c r="Y178" s="38"/>
      <c r="Z178" s="38"/>
      <c r="AA178" s="38"/>
      <c r="AB178" s="38"/>
      <c r="AC178" s="38"/>
      <c r="AD178" s="38"/>
      <c r="AE178" s="38"/>
      <c r="AF178" s="38"/>
      <c r="AG178" s="38"/>
    </row>
    <row r="179" spans="1:33" x14ac:dyDescent="0.25">
      <c r="A179" s="279"/>
      <c r="B179" s="279"/>
      <c r="C179" s="279"/>
      <c r="D179" s="292"/>
      <c r="E179" s="279"/>
      <c r="F179" s="279"/>
      <c r="G179" s="279"/>
      <c r="H179" s="38"/>
      <c r="I179" s="38"/>
      <c r="J179" s="38"/>
      <c r="K179" s="38"/>
      <c r="L179" s="38"/>
      <c r="M179" s="38"/>
      <c r="N179" s="38"/>
      <c r="O179" s="205"/>
      <c r="P179" s="38"/>
      <c r="Q179" s="38"/>
      <c r="R179" s="38"/>
      <c r="S179" s="38"/>
      <c r="T179" s="38"/>
      <c r="U179" s="38"/>
      <c r="V179" s="38"/>
      <c r="W179" s="38"/>
      <c r="X179" s="38"/>
      <c r="Y179" s="38"/>
      <c r="Z179" s="38"/>
      <c r="AA179" s="38"/>
      <c r="AB179" s="38"/>
      <c r="AC179" s="38"/>
      <c r="AD179" s="38"/>
      <c r="AE179" s="38"/>
      <c r="AF179" s="38"/>
      <c r="AG179" s="38"/>
    </row>
    <row r="180" spans="1:33" x14ac:dyDescent="0.25">
      <c r="A180" s="38"/>
      <c r="B180" s="38"/>
      <c r="C180" s="38"/>
      <c r="D180" s="268"/>
      <c r="E180" s="38"/>
      <c r="F180" s="38"/>
      <c r="G180" s="38"/>
      <c r="H180" s="38"/>
      <c r="I180" s="38"/>
      <c r="J180" s="38"/>
      <c r="K180" s="38"/>
      <c r="L180" s="38"/>
      <c r="M180" s="38"/>
      <c r="N180" s="38"/>
      <c r="O180" s="205"/>
      <c r="P180" s="38"/>
      <c r="Q180" s="38"/>
      <c r="R180" s="38"/>
      <c r="S180" s="38"/>
      <c r="T180" s="38"/>
      <c r="U180" s="38"/>
      <c r="V180" s="38"/>
      <c r="W180" s="38"/>
      <c r="X180" s="38"/>
      <c r="Y180" s="38"/>
      <c r="Z180" s="38"/>
      <c r="AA180" s="38"/>
      <c r="AB180" s="38"/>
      <c r="AC180" s="38"/>
      <c r="AD180" s="38"/>
      <c r="AE180" s="38"/>
      <c r="AF180" s="38"/>
      <c r="AG180" s="38"/>
    </row>
    <row r="181" spans="1:33" x14ac:dyDescent="0.25">
      <c r="A181" s="38"/>
      <c r="B181" s="38"/>
      <c r="C181" s="38"/>
      <c r="D181" s="268"/>
      <c r="E181" s="38"/>
      <c r="F181" s="38"/>
      <c r="G181" s="38"/>
      <c r="H181" s="38"/>
      <c r="I181" s="38"/>
      <c r="J181" s="38"/>
      <c r="K181" s="38"/>
      <c r="L181" s="38"/>
      <c r="M181" s="38"/>
      <c r="N181" s="38"/>
      <c r="O181" s="205"/>
      <c r="P181" s="38"/>
      <c r="Q181" s="38"/>
      <c r="R181" s="38"/>
      <c r="S181" s="38"/>
      <c r="T181" s="38"/>
      <c r="U181" s="38"/>
      <c r="V181" s="38"/>
      <c r="W181" s="38"/>
      <c r="X181" s="38"/>
      <c r="Y181" s="38"/>
      <c r="Z181" s="38"/>
      <c r="AA181" s="38"/>
      <c r="AB181" s="38"/>
      <c r="AC181" s="38"/>
      <c r="AD181" s="38"/>
      <c r="AE181" s="38"/>
      <c r="AF181" s="38"/>
      <c r="AG181" s="38"/>
    </row>
    <row r="182" spans="1:33" x14ac:dyDescent="0.25">
      <c r="A182" s="38"/>
      <c r="B182" s="38"/>
      <c r="C182" s="38"/>
      <c r="D182" s="268"/>
      <c r="E182" s="38"/>
      <c r="F182" s="38"/>
      <c r="G182" s="38"/>
      <c r="H182" s="38"/>
      <c r="I182" s="38"/>
      <c r="J182" s="38"/>
      <c r="K182" s="38"/>
      <c r="L182" s="38"/>
      <c r="M182" s="38"/>
      <c r="N182" s="38"/>
      <c r="O182" s="205"/>
      <c r="P182" s="38"/>
      <c r="Q182" s="38"/>
      <c r="R182" s="38"/>
      <c r="S182" s="38"/>
      <c r="T182" s="38"/>
      <c r="U182" s="38"/>
      <c r="V182" s="38"/>
      <c r="W182" s="38"/>
      <c r="X182" s="38"/>
      <c r="Y182" s="38"/>
      <c r="Z182" s="38"/>
      <c r="AA182" s="38"/>
      <c r="AB182" s="38"/>
      <c r="AC182" s="38"/>
      <c r="AD182" s="38"/>
      <c r="AE182" s="38"/>
      <c r="AF182" s="38"/>
      <c r="AG182" s="38"/>
    </row>
    <row r="183" spans="1:33" x14ac:dyDescent="0.25">
      <c r="A183" s="38"/>
      <c r="B183" s="38"/>
      <c r="C183" s="38"/>
      <c r="D183" s="268"/>
      <c r="E183" s="38"/>
      <c r="F183" s="38"/>
      <c r="G183" s="38"/>
      <c r="H183" s="38"/>
      <c r="I183" s="38"/>
      <c r="J183" s="38"/>
      <c r="K183" s="38"/>
      <c r="L183" s="38"/>
      <c r="M183" s="38"/>
      <c r="N183" s="38"/>
      <c r="O183" s="205"/>
      <c r="P183" s="38"/>
      <c r="Q183" s="38"/>
      <c r="R183" s="38"/>
      <c r="S183" s="38"/>
      <c r="T183" s="38"/>
      <c r="U183" s="38"/>
      <c r="V183" s="38"/>
      <c r="W183" s="38"/>
      <c r="X183" s="38"/>
      <c r="Y183" s="38"/>
      <c r="Z183" s="38"/>
      <c r="AA183" s="38"/>
      <c r="AB183" s="38"/>
      <c r="AC183" s="38"/>
      <c r="AD183" s="38"/>
      <c r="AE183" s="38"/>
      <c r="AF183" s="38"/>
      <c r="AG183" s="38"/>
    </row>
    <row r="184" spans="1:33" x14ac:dyDescent="0.25">
      <c r="A184" s="38"/>
      <c r="B184" s="38"/>
      <c r="C184" s="38"/>
      <c r="D184" s="268"/>
      <c r="E184" s="38"/>
      <c r="F184" s="38"/>
      <c r="G184" s="38"/>
      <c r="H184" s="38"/>
      <c r="I184" s="38"/>
      <c r="J184" s="38"/>
      <c r="K184" s="38"/>
      <c r="L184" s="38"/>
      <c r="M184" s="38"/>
      <c r="N184" s="38"/>
      <c r="O184" s="205"/>
      <c r="P184" s="38"/>
      <c r="Q184" s="38"/>
      <c r="R184" s="38"/>
      <c r="S184" s="38"/>
      <c r="T184" s="38"/>
      <c r="U184" s="38"/>
      <c r="V184" s="38"/>
      <c r="W184" s="38"/>
      <c r="X184" s="38"/>
      <c r="Y184" s="38"/>
      <c r="Z184" s="38"/>
      <c r="AA184" s="38"/>
      <c r="AB184" s="38"/>
      <c r="AC184" s="38"/>
      <c r="AD184" s="38"/>
      <c r="AE184" s="38"/>
      <c r="AF184" s="38"/>
      <c r="AG184" s="38"/>
    </row>
    <row r="185" spans="1:33" x14ac:dyDescent="0.25">
      <c r="A185" s="38"/>
      <c r="B185" s="38"/>
      <c r="C185" s="38"/>
      <c r="D185" s="268"/>
      <c r="E185" s="38"/>
      <c r="F185" s="38"/>
      <c r="G185" s="38"/>
      <c r="H185" s="38"/>
      <c r="I185" s="38"/>
      <c r="J185" s="38"/>
      <c r="K185" s="38"/>
      <c r="L185" s="38"/>
      <c r="M185" s="38"/>
      <c r="N185" s="38"/>
      <c r="O185" s="205"/>
      <c r="P185" s="38"/>
      <c r="Q185" s="38"/>
      <c r="R185" s="38"/>
      <c r="S185" s="38"/>
      <c r="T185" s="38"/>
      <c r="U185" s="38"/>
      <c r="V185" s="38"/>
      <c r="W185" s="38"/>
      <c r="X185" s="38"/>
      <c r="Y185" s="38"/>
      <c r="Z185" s="38"/>
      <c r="AA185" s="38"/>
      <c r="AB185" s="38"/>
      <c r="AC185" s="38"/>
      <c r="AD185" s="38"/>
      <c r="AE185" s="38"/>
      <c r="AF185" s="38"/>
      <c r="AG185" s="38"/>
    </row>
    <row r="186" spans="1:33" x14ac:dyDescent="0.25">
      <c r="A186" s="38"/>
      <c r="B186" s="38"/>
      <c r="C186" s="38"/>
      <c r="D186" s="268"/>
      <c r="E186" s="38"/>
      <c r="F186" s="38"/>
      <c r="G186" s="38"/>
      <c r="H186" s="38"/>
      <c r="I186" s="38"/>
      <c r="J186" s="38"/>
      <c r="K186" s="38"/>
      <c r="L186" s="38"/>
      <c r="M186" s="38"/>
      <c r="N186" s="38"/>
      <c r="O186" s="205"/>
      <c r="P186" s="38"/>
      <c r="Q186" s="38"/>
      <c r="R186" s="38"/>
      <c r="S186" s="38"/>
      <c r="T186" s="38"/>
      <c r="U186" s="38"/>
      <c r="V186" s="38"/>
      <c r="W186" s="38"/>
      <c r="X186" s="38"/>
      <c r="Y186" s="38"/>
      <c r="Z186" s="38"/>
      <c r="AA186" s="38"/>
      <c r="AB186" s="38"/>
      <c r="AC186" s="38"/>
      <c r="AD186" s="38"/>
      <c r="AE186" s="38"/>
      <c r="AF186" s="38"/>
      <c r="AG186" s="38"/>
    </row>
    <row r="187" spans="1:33" x14ac:dyDescent="0.25">
      <c r="A187" s="38"/>
      <c r="B187" s="38"/>
      <c r="C187" s="38"/>
      <c r="D187" s="268"/>
      <c r="E187" s="38"/>
      <c r="F187" s="38"/>
      <c r="G187" s="38"/>
      <c r="H187" s="38"/>
      <c r="I187" s="38"/>
      <c r="J187" s="38"/>
      <c r="K187" s="38"/>
      <c r="L187" s="38"/>
      <c r="M187" s="38"/>
      <c r="N187" s="38"/>
      <c r="O187" s="205"/>
      <c r="P187" s="38"/>
      <c r="Q187" s="38"/>
      <c r="R187" s="38"/>
      <c r="S187" s="38"/>
      <c r="T187" s="38"/>
      <c r="U187" s="38"/>
      <c r="V187" s="38"/>
      <c r="W187" s="38"/>
      <c r="X187" s="38"/>
      <c r="Y187" s="38"/>
      <c r="Z187" s="38"/>
      <c r="AA187" s="38"/>
      <c r="AB187" s="38"/>
      <c r="AC187" s="38"/>
      <c r="AD187" s="38"/>
      <c r="AE187" s="38"/>
      <c r="AF187" s="38"/>
      <c r="AG187" s="38"/>
    </row>
    <row r="188" spans="1:33" x14ac:dyDescent="0.25">
      <c r="A188" s="38"/>
      <c r="B188" s="38"/>
      <c r="C188" s="38"/>
      <c r="D188" s="268"/>
      <c r="E188" s="38"/>
      <c r="F188" s="38"/>
      <c r="G188" s="38"/>
      <c r="H188" s="38"/>
      <c r="I188" s="38"/>
      <c r="J188" s="38"/>
      <c r="K188" s="38"/>
      <c r="L188" s="38"/>
      <c r="M188" s="38"/>
      <c r="N188" s="38"/>
      <c r="O188" s="205"/>
      <c r="P188" s="38"/>
      <c r="Q188" s="38"/>
      <c r="R188" s="38"/>
      <c r="S188" s="38"/>
      <c r="T188" s="38"/>
      <c r="U188" s="38"/>
      <c r="V188" s="38"/>
      <c r="W188" s="38"/>
      <c r="X188" s="38"/>
      <c r="Y188" s="38"/>
      <c r="Z188" s="38"/>
      <c r="AA188" s="38"/>
      <c r="AB188" s="38"/>
      <c r="AC188" s="38"/>
      <c r="AD188" s="38"/>
      <c r="AE188" s="38"/>
      <c r="AF188" s="38"/>
      <c r="AG188" s="38"/>
    </row>
    <row r="189" spans="1:33" x14ac:dyDescent="0.25">
      <c r="A189" s="38"/>
      <c r="B189" s="38"/>
      <c r="C189" s="38"/>
      <c r="D189" s="268"/>
      <c r="E189" s="38"/>
      <c r="F189" s="38"/>
      <c r="G189" s="38"/>
      <c r="H189" s="38"/>
      <c r="I189" s="38"/>
      <c r="J189" s="38"/>
      <c r="K189" s="38"/>
      <c r="L189" s="38"/>
      <c r="M189" s="38"/>
      <c r="N189" s="38"/>
      <c r="O189" s="205"/>
      <c r="P189" s="38"/>
      <c r="Q189" s="38"/>
      <c r="R189" s="38"/>
      <c r="S189" s="38"/>
      <c r="T189" s="38"/>
      <c r="U189" s="38"/>
      <c r="V189" s="38"/>
      <c r="W189" s="38"/>
      <c r="X189" s="38"/>
      <c r="Y189" s="38"/>
      <c r="Z189" s="38"/>
      <c r="AA189" s="38"/>
      <c r="AB189" s="38"/>
      <c r="AC189" s="38"/>
      <c r="AD189" s="38"/>
      <c r="AE189" s="38"/>
      <c r="AF189" s="38"/>
      <c r="AG189" s="38"/>
    </row>
    <row r="190" spans="1:33" x14ac:dyDescent="0.25">
      <c r="A190" s="38"/>
      <c r="B190" s="38"/>
      <c r="C190" s="38"/>
      <c r="D190" s="268"/>
      <c r="E190" s="38"/>
      <c r="F190" s="38"/>
      <c r="G190" s="38"/>
      <c r="H190" s="38"/>
      <c r="I190" s="38"/>
      <c r="J190" s="38"/>
      <c r="K190" s="38"/>
      <c r="L190" s="38"/>
      <c r="M190" s="38"/>
      <c r="N190" s="38"/>
      <c r="O190" s="205"/>
      <c r="P190" s="38"/>
      <c r="Q190" s="38"/>
      <c r="R190" s="38"/>
      <c r="S190" s="38"/>
      <c r="T190" s="38"/>
      <c r="U190" s="38"/>
      <c r="V190" s="38"/>
      <c r="W190" s="38"/>
      <c r="X190" s="38"/>
      <c r="Y190" s="38"/>
      <c r="Z190" s="38"/>
      <c r="AA190" s="38"/>
      <c r="AB190" s="38"/>
      <c r="AC190" s="38"/>
      <c r="AD190" s="38"/>
      <c r="AE190" s="38"/>
      <c r="AF190" s="38"/>
      <c r="AG190" s="38"/>
    </row>
    <row r="191" spans="1:33" x14ac:dyDescent="0.25">
      <c r="A191" s="38"/>
      <c r="B191" s="38"/>
      <c r="C191" s="38"/>
      <c r="D191" s="268"/>
      <c r="E191" s="38"/>
      <c r="F191" s="38"/>
      <c r="G191" s="38"/>
      <c r="H191" s="38"/>
      <c r="I191" s="38"/>
      <c r="J191" s="38"/>
      <c r="K191" s="38"/>
      <c r="L191" s="38"/>
      <c r="M191" s="38"/>
      <c r="N191" s="38"/>
      <c r="O191" s="205"/>
      <c r="P191" s="38"/>
      <c r="Q191" s="38"/>
      <c r="R191" s="38"/>
      <c r="S191" s="38"/>
      <c r="T191" s="38"/>
      <c r="U191" s="38"/>
      <c r="V191" s="38"/>
      <c r="W191" s="38"/>
      <c r="X191" s="38"/>
      <c r="Y191" s="38"/>
      <c r="Z191" s="38"/>
      <c r="AA191" s="38"/>
      <c r="AB191" s="38"/>
      <c r="AC191" s="38"/>
      <c r="AD191" s="38"/>
      <c r="AE191" s="38"/>
      <c r="AF191" s="38"/>
      <c r="AG191" s="38"/>
    </row>
    <row r="192" spans="1:33" x14ac:dyDescent="0.25">
      <c r="A192" s="38"/>
      <c r="B192" s="38"/>
      <c r="C192" s="38"/>
      <c r="D192" s="268"/>
      <c r="E192" s="38"/>
      <c r="F192" s="38"/>
      <c r="G192" s="38"/>
      <c r="H192" s="38"/>
      <c r="I192" s="38"/>
      <c r="J192" s="38"/>
      <c r="K192" s="38"/>
      <c r="L192" s="38"/>
      <c r="M192" s="38"/>
      <c r="N192" s="38"/>
      <c r="O192" s="205"/>
      <c r="P192" s="38"/>
      <c r="Q192" s="38"/>
      <c r="R192" s="38"/>
      <c r="S192" s="38"/>
      <c r="T192" s="38"/>
      <c r="U192" s="38"/>
      <c r="V192" s="38"/>
      <c r="W192" s="38"/>
      <c r="X192" s="38"/>
      <c r="Y192" s="38"/>
      <c r="Z192" s="38"/>
      <c r="AA192" s="38"/>
      <c r="AB192" s="38"/>
      <c r="AC192" s="38"/>
      <c r="AD192" s="38"/>
      <c r="AE192" s="38"/>
      <c r="AF192" s="38"/>
      <c r="AG192" s="38"/>
    </row>
    <row r="193" spans="1:33" x14ac:dyDescent="0.25">
      <c r="A193" s="38"/>
      <c r="B193" s="38"/>
      <c r="C193" s="38"/>
      <c r="D193" s="268"/>
      <c r="E193" s="38"/>
      <c r="F193" s="38"/>
      <c r="G193" s="38"/>
      <c r="H193" s="38"/>
      <c r="I193" s="38"/>
      <c r="J193" s="38"/>
      <c r="K193" s="38"/>
      <c r="L193" s="38"/>
      <c r="M193" s="38"/>
      <c r="N193" s="38"/>
      <c r="O193" s="205"/>
      <c r="P193" s="38"/>
      <c r="Q193" s="38"/>
      <c r="R193" s="38"/>
      <c r="S193" s="38"/>
      <c r="T193" s="38"/>
      <c r="U193" s="38"/>
      <c r="V193" s="38"/>
      <c r="W193" s="38"/>
      <c r="X193" s="38"/>
      <c r="Y193" s="38"/>
      <c r="Z193" s="38"/>
      <c r="AA193" s="38"/>
      <c r="AB193" s="38"/>
      <c r="AC193" s="38"/>
      <c r="AD193" s="38"/>
      <c r="AE193" s="38"/>
      <c r="AF193" s="38"/>
      <c r="AG193" s="38"/>
    </row>
    <row r="194" spans="1:33" x14ac:dyDescent="0.25">
      <c r="A194" s="38"/>
      <c r="B194" s="38"/>
      <c r="C194" s="38"/>
      <c r="D194" s="268"/>
      <c r="E194" s="38"/>
      <c r="F194" s="38"/>
      <c r="G194" s="38"/>
      <c r="H194" s="38"/>
      <c r="I194" s="38"/>
      <c r="J194" s="38"/>
      <c r="K194" s="38"/>
      <c r="L194" s="38"/>
      <c r="M194" s="38"/>
      <c r="N194" s="38"/>
      <c r="O194" s="205"/>
      <c r="P194" s="38"/>
      <c r="Q194" s="38"/>
      <c r="R194" s="38"/>
      <c r="S194" s="38"/>
      <c r="T194" s="38"/>
      <c r="U194" s="38"/>
      <c r="V194" s="38"/>
      <c r="W194" s="38"/>
      <c r="X194" s="38"/>
      <c r="Y194" s="38"/>
      <c r="Z194" s="38"/>
      <c r="AA194" s="38"/>
      <c r="AB194" s="38"/>
      <c r="AC194" s="38"/>
      <c r="AD194" s="38"/>
      <c r="AE194" s="38"/>
      <c r="AF194" s="38"/>
      <c r="AG194" s="38"/>
    </row>
    <row r="195" spans="1:33" x14ac:dyDescent="0.25">
      <c r="A195" s="38"/>
      <c r="B195" s="38"/>
      <c r="C195" s="38"/>
      <c r="D195" s="268"/>
      <c r="E195" s="38"/>
      <c r="F195" s="38"/>
      <c r="G195" s="38"/>
      <c r="H195" s="38"/>
      <c r="I195" s="38"/>
      <c r="J195" s="38"/>
      <c r="K195" s="38"/>
      <c r="L195" s="38"/>
      <c r="M195" s="38"/>
      <c r="N195" s="38"/>
      <c r="O195" s="205"/>
      <c r="P195" s="38"/>
      <c r="Q195" s="38"/>
      <c r="R195" s="38"/>
      <c r="S195" s="38"/>
      <c r="T195" s="38"/>
      <c r="U195" s="38"/>
      <c r="V195" s="38"/>
      <c r="W195" s="38"/>
      <c r="X195" s="38"/>
      <c r="Y195" s="38"/>
      <c r="Z195" s="38"/>
      <c r="AA195" s="38"/>
      <c r="AB195" s="38"/>
      <c r="AC195" s="38"/>
      <c r="AD195" s="38"/>
      <c r="AE195" s="38"/>
      <c r="AF195" s="38"/>
      <c r="AG195" s="38"/>
    </row>
    <row r="196" spans="1:33" x14ac:dyDescent="0.25">
      <c r="A196" s="38"/>
      <c r="B196" s="38"/>
      <c r="C196" s="38"/>
      <c r="D196" s="268"/>
      <c r="E196" s="38"/>
      <c r="F196" s="38"/>
      <c r="G196" s="38"/>
      <c r="H196" s="38"/>
      <c r="I196" s="38"/>
      <c r="J196" s="38"/>
      <c r="K196" s="38"/>
      <c r="L196" s="38"/>
      <c r="M196" s="38"/>
      <c r="N196" s="38"/>
      <c r="O196" s="205"/>
      <c r="P196" s="38"/>
      <c r="Q196" s="38"/>
      <c r="R196" s="38"/>
      <c r="S196" s="38"/>
      <c r="T196" s="38"/>
      <c r="U196" s="38"/>
      <c r="V196" s="38"/>
      <c r="W196" s="38"/>
      <c r="X196" s="38"/>
      <c r="Y196" s="38"/>
      <c r="Z196" s="38"/>
      <c r="AA196" s="38"/>
      <c r="AB196" s="38"/>
      <c r="AC196" s="38"/>
      <c r="AD196" s="38"/>
      <c r="AE196" s="38"/>
      <c r="AF196" s="38"/>
      <c r="AG196" s="38"/>
    </row>
    <row r="197" spans="1:33" x14ac:dyDescent="0.25">
      <c r="A197" s="38"/>
      <c r="B197" s="38"/>
      <c r="C197" s="38"/>
      <c r="D197" s="268"/>
      <c r="E197" s="38"/>
      <c r="F197" s="38"/>
      <c r="G197" s="38"/>
      <c r="H197" s="38"/>
      <c r="I197" s="38"/>
      <c r="J197" s="38"/>
      <c r="K197" s="38"/>
      <c r="L197" s="38"/>
      <c r="M197" s="38"/>
      <c r="N197" s="38"/>
      <c r="O197" s="205"/>
      <c r="P197" s="38"/>
      <c r="Q197" s="38"/>
      <c r="R197" s="38"/>
      <c r="S197" s="38"/>
      <c r="T197" s="38"/>
      <c r="U197" s="38"/>
      <c r="V197" s="38"/>
      <c r="W197" s="38"/>
      <c r="X197" s="38"/>
      <c r="Y197" s="38"/>
      <c r="Z197" s="38"/>
      <c r="AA197" s="38"/>
      <c r="AB197" s="38"/>
      <c r="AC197" s="38"/>
      <c r="AD197" s="38"/>
      <c r="AE197" s="38"/>
      <c r="AF197" s="38"/>
      <c r="AG197" s="38"/>
    </row>
    <row r="198" spans="1:33" x14ac:dyDescent="0.25">
      <c r="A198" s="38"/>
      <c r="B198" s="38"/>
      <c r="C198" s="38"/>
      <c r="D198" s="268"/>
      <c r="E198" s="38"/>
      <c r="F198" s="38"/>
      <c r="G198" s="38"/>
      <c r="H198" s="38"/>
      <c r="I198" s="38"/>
      <c r="J198" s="38"/>
      <c r="K198" s="38"/>
      <c r="L198" s="38"/>
      <c r="M198" s="38"/>
      <c r="N198" s="38"/>
      <c r="O198" s="205"/>
      <c r="P198" s="38"/>
      <c r="Q198" s="38"/>
      <c r="R198" s="38"/>
      <c r="S198" s="38"/>
      <c r="T198" s="38"/>
      <c r="U198" s="38"/>
      <c r="V198" s="38"/>
      <c r="W198" s="38"/>
      <c r="X198" s="38"/>
      <c r="Y198" s="38"/>
      <c r="Z198" s="38"/>
      <c r="AA198" s="38"/>
      <c r="AB198" s="38"/>
      <c r="AC198" s="38"/>
      <c r="AD198" s="38"/>
      <c r="AE198" s="38"/>
      <c r="AF198" s="38"/>
      <c r="AG198" s="38"/>
    </row>
    <row r="199" spans="1:33" x14ac:dyDescent="0.25">
      <c r="A199" s="38"/>
      <c r="B199" s="38"/>
      <c r="C199" s="38"/>
      <c r="D199" s="268"/>
      <c r="E199" s="38"/>
      <c r="F199" s="38"/>
      <c r="G199" s="38"/>
      <c r="H199" s="38"/>
      <c r="I199" s="38"/>
      <c r="J199" s="38"/>
      <c r="K199" s="38"/>
      <c r="L199" s="38"/>
      <c r="M199" s="38"/>
      <c r="N199" s="38"/>
      <c r="O199" s="205"/>
      <c r="P199" s="38"/>
      <c r="Q199" s="38"/>
      <c r="R199" s="38"/>
      <c r="S199" s="38"/>
      <c r="T199" s="38"/>
      <c r="U199" s="38"/>
      <c r="V199" s="38"/>
      <c r="W199" s="38"/>
      <c r="X199" s="38"/>
      <c r="Y199" s="38"/>
      <c r="Z199" s="38"/>
      <c r="AA199" s="38"/>
      <c r="AB199" s="38"/>
      <c r="AC199" s="38"/>
      <c r="AD199" s="38"/>
      <c r="AE199" s="38"/>
      <c r="AF199" s="38"/>
      <c r="AG199" s="38"/>
    </row>
    <row r="200" spans="1:33" x14ac:dyDescent="0.25">
      <c r="A200" s="38"/>
      <c r="B200" s="38"/>
      <c r="C200" s="38"/>
      <c r="D200" s="268"/>
      <c r="E200" s="38"/>
      <c r="F200" s="38"/>
      <c r="G200" s="38"/>
      <c r="H200" s="38"/>
      <c r="I200" s="38"/>
      <c r="J200" s="38"/>
      <c r="K200" s="38"/>
      <c r="L200" s="38"/>
      <c r="M200" s="38"/>
      <c r="N200" s="38"/>
      <c r="O200" s="205"/>
      <c r="P200" s="38"/>
      <c r="Q200" s="38"/>
      <c r="R200" s="38"/>
      <c r="S200" s="38"/>
      <c r="T200" s="38"/>
      <c r="U200" s="38"/>
      <c r="V200" s="38"/>
      <c r="W200" s="38"/>
      <c r="X200" s="38"/>
      <c r="Y200" s="38"/>
      <c r="Z200" s="38"/>
      <c r="AA200" s="38"/>
      <c r="AB200" s="38"/>
      <c r="AC200" s="38"/>
      <c r="AD200" s="38"/>
      <c r="AE200" s="38"/>
      <c r="AF200" s="38"/>
      <c r="AG200" s="38"/>
    </row>
    <row r="201" spans="1:33" x14ac:dyDescent="0.25">
      <c r="A201" s="38"/>
      <c r="B201" s="38"/>
      <c r="C201" s="38"/>
      <c r="D201" s="268"/>
      <c r="E201" s="38"/>
      <c r="F201" s="38"/>
      <c r="G201" s="38"/>
      <c r="H201" s="38"/>
      <c r="I201" s="38"/>
      <c r="J201" s="38"/>
      <c r="K201" s="38"/>
      <c r="L201" s="38"/>
      <c r="M201" s="38"/>
      <c r="N201" s="38"/>
      <c r="O201" s="205"/>
      <c r="P201" s="38"/>
      <c r="Q201" s="38"/>
      <c r="R201" s="38"/>
      <c r="S201" s="38"/>
      <c r="T201" s="38"/>
      <c r="U201" s="38"/>
      <c r="V201" s="38"/>
      <c r="W201" s="38"/>
      <c r="X201" s="38"/>
      <c r="Y201" s="38"/>
      <c r="Z201" s="38"/>
      <c r="AA201" s="38"/>
      <c r="AB201" s="38"/>
      <c r="AC201" s="38"/>
      <c r="AD201" s="38"/>
      <c r="AE201" s="38"/>
      <c r="AF201" s="38"/>
      <c r="AG201" s="38"/>
    </row>
    <row r="202" spans="1:33" x14ac:dyDescent="0.25">
      <c r="A202" s="38"/>
      <c r="B202" s="38"/>
      <c r="C202" s="38"/>
      <c r="D202" s="268"/>
      <c r="E202" s="38"/>
      <c r="F202" s="38"/>
      <c r="G202" s="38"/>
      <c r="H202" s="38"/>
      <c r="I202" s="38"/>
      <c r="J202" s="38"/>
      <c r="K202" s="38"/>
      <c r="L202" s="38"/>
      <c r="M202" s="38"/>
      <c r="N202" s="38"/>
      <c r="O202" s="205"/>
      <c r="P202" s="38"/>
      <c r="Q202" s="38"/>
      <c r="R202" s="38"/>
      <c r="S202" s="38"/>
      <c r="T202" s="38"/>
      <c r="U202" s="38"/>
      <c r="V202" s="38"/>
      <c r="W202" s="38"/>
      <c r="X202" s="38"/>
      <c r="Y202" s="38"/>
      <c r="Z202" s="38"/>
      <c r="AA202" s="38"/>
      <c r="AB202" s="38"/>
      <c r="AC202" s="38"/>
      <c r="AD202" s="38"/>
      <c r="AE202" s="38"/>
      <c r="AF202" s="38"/>
      <c r="AG202" s="38"/>
    </row>
    <row r="203" spans="1:33" x14ac:dyDescent="0.25">
      <c r="A203" s="38"/>
      <c r="B203" s="38"/>
      <c r="C203" s="38"/>
      <c r="D203" s="268"/>
      <c r="E203" s="38"/>
      <c r="F203" s="38"/>
      <c r="G203" s="38"/>
      <c r="H203" s="38"/>
      <c r="I203" s="38"/>
      <c r="J203" s="38"/>
      <c r="K203" s="38"/>
      <c r="L203" s="38"/>
      <c r="M203" s="38"/>
      <c r="N203" s="38"/>
      <c r="O203" s="205"/>
      <c r="P203" s="38"/>
      <c r="Q203" s="38"/>
      <c r="R203" s="38"/>
      <c r="S203" s="38"/>
      <c r="T203" s="38"/>
      <c r="U203" s="38"/>
      <c r="V203" s="38"/>
      <c r="W203" s="38"/>
      <c r="X203" s="38"/>
      <c r="Y203" s="38"/>
      <c r="Z203" s="38"/>
      <c r="AA203" s="38"/>
      <c r="AB203" s="38"/>
      <c r="AC203" s="38"/>
      <c r="AD203" s="38"/>
      <c r="AE203" s="38"/>
      <c r="AF203" s="38"/>
      <c r="AG203" s="38"/>
    </row>
    <row r="204" spans="1:33" x14ac:dyDescent="0.25">
      <c r="A204" s="38"/>
      <c r="B204" s="38"/>
      <c r="C204" s="38"/>
      <c r="D204" s="268"/>
      <c r="E204" s="38"/>
      <c r="F204" s="38"/>
      <c r="G204" s="38"/>
      <c r="H204" s="38"/>
      <c r="I204" s="38"/>
      <c r="J204" s="38"/>
      <c r="K204" s="38"/>
      <c r="L204" s="38"/>
      <c r="M204" s="38"/>
      <c r="N204" s="38"/>
      <c r="O204" s="205"/>
      <c r="P204" s="38"/>
      <c r="Q204" s="38"/>
      <c r="R204" s="38"/>
      <c r="S204" s="38"/>
      <c r="T204" s="38"/>
      <c r="U204" s="38"/>
      <c r="V204" s="38"/>
      <c r="W204" s="38"/>
      <c r="X204" s="38"/>
      <c r="Y204" s="38"/>
      <c r="Z204" s="38"/>
      <c r="AA204" s="38"/>
      <c r="AB204" s="38"/>
      <c r="AC204" s="38"/>
      <c r="AD204" s="38"/>
      <c r="AE204" s="38"/>
      <c r="AF204" s="38"/>
      <c r="AG204" s="38"/>
    </row>
    <row r="205" spans="1:33" x14ac:dyDescent="0.25">
      <c r="A205" s="38"/>
      <c r="B205" s="38"/>
      <c r="C205" s="38"/>
      <c r="D205" s="268"/>
      <c r="E205" s="38"/>
      <c r="F205" s="38"/>
      <c r="G205" s="38"/>
      <c r="H205" s="38"/>
      <c r="I205" s="38"/>
      <c r="J205" s="38"/>
      <c r="K205" s="38"/>
      <c r="L205" s="38"/>
      <c r="M205" s="38"/>
      <c r="N205" s="38"/>
      <c r="O205" s="205"/>
      <c r="P205" s="38"/>
      <c r="Q205" s="38"/>
      <c r="R205" s="38"/>
      <c r="S205" s="38"/>
      <c r="T205" s="38"/>
      <c r="U205" s="38"/>
      <c r="V205" s="38"/>
      <c r="W205" s="38"/>
      <c r="X205" s="38"/>
      <c r="Y205" s="38"/>
      <c r="Z205" s="38"/>
      <c r="AA205" s="38"/>
      <c r="AB205" s="38"/>
      <c r="AC205" s="38"/>
      <c r="AD205" s="38"/>
      <c r="AE205" s="38"/>
      <c r="AF205" s="38"/>
      <c r="AG205" s="38"/>
    </row>
    <row r="206" spans="1:33" x14ac:dyDescent="0.25">
      <c r="A206" s="38"/>
      <c r="B206" s="38"/>
      <c r="C206" s="38"/>
      <c r="D206" s="268"/>
      <c r="E206" s="38"/>
      <c r="F206" s="38"/>
      <c r="G206" s="38"/>
      <c r="H206" s="38"/>
      <c r="I206" s="38"/>
      <c r="J206" s="38"/>
      <c r="K206" s="38"/>
      <c r="L206" s="38"/>
      <c r="M206" s="38"/>
      <c r="N206" s="38"/>
      <c r="O206" s="205"/>
      <c r="P206" s="38"/>
      <c r="Q206" s="38"/>
      <c r="R206" s="38"/>
      <c r="S206" s="38"/>
      <c r="T206" s="38"/>
      <c r="U206" s="38"/>
      <c r="V206" s="38"/>
      <c r="W206" s="38"/>
      <c r="X206" s="38"/>
      <c r="Y206" s="38"/>
      <c r="Z206" s="38"/>
      <c r="AA206" s="38"/>
      <c r="AB206" s="38"/>
      <c r="AC206" s="38"/>
      <c r="AD206" s="38"/>
      <c r="AE206" s="38"/>
      <c r="AF206" s="38"/>
      <c r="AG206" s="38"/>
    </row>
    <row r="207" spans="1:33" x14ac:dyDescent="0.25">
      <c r="A207" s="38"/>
      <c r="B207" s="38"/>
      <c r="C207" s="38"/>
      <c r="D207" s="268"/>
      <c r="E207" s="38"/>
      <c r="F207" s="38"/>
      <c r="G207" s="38"/>
      <c r="H207" s="38"/>
      <c r="I207" s="38"/>
      <c r="J207" s="38"/>
      <c r="K207" s="38"/>
      <c r="L207" s="38"/>
      <c r="M207" s="38"/>
      <c r="N207" s="38"/>
      <c r="O207" s="205"/>
      <c r="P207" s="38"/>
      <c r="Q207" s="38"/>
      <c r="R207" s="38"/>
      <c r="S207" s="38"/>
      <c r="T207" s="38"/>
      <c r="U207" s="38"/>
      <c r="V207" s="38"/>
      <c r="W207" s="38"/>
      <c r="X207" s="38"/>
      <c r="Y207" s="38"/>
      <c r="Z207" s="38"/>
      <c r="AA207" s="38"/>
      <c r="AB207" s="38"/>
      <c r="AC207" s="38"/>
      <c r="AD207" s="38"/>
      <c r="AE207" s="38"/>
      <c r="AF207" s="38"/>
      <c r="AG207" s="38"/>
    </row>
    <row r="208" spans="1:33" x14ac:dyDescent="0.25">
      <c r="A208" s="38"/>
      <c r="B208" s="38"/>
      <c r="C208" s="38"/>
      <c r="D208" s="268"/>
      <c r="E208" s="38"/>
      <c r="F208" s="38"/>
      <c r="G208" s="38"/>
      <c r="H208" s="38"/>
      <c r="I208" s="38"/>
      <c r="J208" s="38"/>
      <c r="K208" s="38"/>
      <c r="L208" s="38"/>
      <c r="M208" s="38"/>
      <c r="N208" s="38"/>
      <c r="O208" s="205"/>
      <c r="P208" s="38"/>
      <c r="Q208" s="38"/>
      <c r="R208" s="38"/>
      <c r="S208" s="38"/>
      <c r="T208" s="38"/>
      <c r="U208" s="38"/>
      <c r="V208" s="38"/>
      <c r="W208" s="38"/>
      <c r="X208" s="38"/>
      <c r="Y208" s="38"/>
      <c r="Z208" s="38"/>
      <c r="AA208" s="38"/>
      <c r="AB208" s="38"/>
      <c r="AC208" s="38"/>
      <c r="AD208" s="38"/>
      <c r="AE208" s="38"/>
      <c r="AF208" s="38"/>
      <c r="AG208" s="38"/>
    </row>
    <row r="209" spans="1:33" x14ac:dyDescent="0.25">
      <c r="A209" s="38"/>
      <c r="B209" s="38"/>
      <c r="C209" s="38"/>
      <c r="D209" s="268"/>
      <c r="E209" s="38"/>
      <c r="F209" s="38"/>
      <c r="G209" s="38"/>
      <c r="H209" s="38"/>
      <c r="I209" s="38"/>
      <c r="J209" s="38"/>
      <c r="K209" s="38"/>
      <c r="L209" s="38"/>
      <c r="M209" s="38"/>
      <c r="N209" s="38"/>
      <c r="O209" s="205"/>
      <c r="P209" s="38"/>
      <c r="Q209" s="38"/>
      <c r="R209" s="38"/>
      <c r="S209" s="38"/>
      <c r="T209" s="38"/>
      <c r="U209" s="38"/>
      <c r="V209" s="38"/>
      <c r="W209" s="38"/>
      <c r="X209" s="38"/>
      <c r="Y209" s="38"/>
      <c r="Z209" s="38"/>
      <c r="AA209" s="38"/>
      <c r="AB209" s="38"/>
      <c r="AC209" s="38"/>
      <c r="AD209" s="38"/>
      <c r="AE209" s="38"/>
      <c r="AF209" s="38"/>
      <c r="AG209" s="38"/>
    </row>
    <row r="210" spans="1:33" x14ac:dyDescent="0.25">
      <c r="A210" s="38"/>
      <c r="B210" s="38"/>
      <c r="C210" s="38"/>
      <c r="D210" s="268"/>
      <c r="E210" s="38"/>
      <c r="F210" s="38"/>
      <c r="G210" s="38"/>
      <c r="H210" s="38"/>
      <c r="I210" s="38"/>
      <c r="J210" s="38"/>
      <c r="K210" s="38"/>
      <c r="L210" s="38"/>
      <c r="M210" s="38"/>
      <c r="N210" s="38"/>
      <c r="O210" s="205"/>
      <c r="P210" s="38"/>
      <c r="Q210" s="38"/>
      <c r="R210" s="38"/>
      <c r="S210" s="38"/>
      <c r="T210" s="38"/>
      <c r="U210" s="38"/>
      <c r="V210" s="38"/>
      <c r="W210" s="38"/>
      <c r="X210" s="38"/>
      <c r="Y210" s="38"/>
      <c r="Z210" s="38"/>
      <c r="AA210" s="38"/>
      <c r="AB210" s="38"/>
      <c r="AC210" s="38"/>
      <c r="AD210" s="38"/>
      <c r="AE210" s="38"/>
      <c r="AF210" s="38"/>
      <c r="AG210" s="38"/>
    </row>
    <row r="211" spans="1:33" x14ac:dyDescent="0.25">
      <c r="A211" s="38"/>
      <c r="B211" s="38"/>
      <c r="C211" s="38"/>
      <c r="D211" s="268"/>
      <c r="E211" s="38"/>
      <c r="F211" s="38"/>
      <c r="G211" s="38"/>
      <c r="H211" s="38"/>
      <c r="I211" s="38"/>
      <c r="J211" s="38"/>
      <c r="K211" s="38"/>
      <c r="L211" s="38"/>
      <c r="M211" s="38"/>
      <c r="N211" s="38"/>
      <c r="O211" s="205"/>
      <c r="P211" s="38"/>
      <c r="Q211" s="38"/>
      <c r="R211" s="38"/>
      <c r="S211" s="38"/>
      <c r="T211" s="38"/>
      <c r="U211" s="38"/>
      <c r="V211" s="38"/>
      <c r="W211" s="38"/>
      <c r="X211" s="38"/>
      <c r="Y211" s="38"/>
      <c r="Z211" s="38"/>
      <c r="AA211" s="38"/>
      <c r="AB211" s="38"/>
      <c r="AC211" s="38"/>
      <c r="AD211" s="38"/>
      <c r="AE211" s="38"/>
      <c r="AF211" s="38"/>
      <c r="AG211" s="38"/>
    </row>
    <row r="212" spans="1:33" x14ac:dyDescent="0.25">
      <c r="A212" s="38"/>
      <c r="B212" s="38"/>
      <c r="C212" s="38"/>
      <c r="D212" s="268"/>
      <c r="E212" s="38"/>
      <c r="F212" s="38"/>
      <c r="G212" s="38"/>
      <c r="H212" s="38"/>
      <c r="I212" s="38"/>
      <c r="J212" s="38"/>
      <c r="K212" s="38"/>
      <c r="L212" s="38"/>
      <c r="M212" s="38"/>
      <c r="N212" s="38"/>
      <c r="O212" s="205"/>
      <c r="P212" s="38"/>
      <c r="Q212" s="38"/>
      <c r="R212" s="38"/>
      <c r="S212" s="38"/>
      <c r="T212" s="38"/>
      <c r="U212" s="38"/>
      <c r="V212" s="38"/>
      <c r="W212" s="38"/>
      <c r="X212" s="38"/>
      <c r="Y212" s="38"/>
      <c r="Z212" s="38"/>
      <c r="AA212" s="38"/>
      <c r="AB212" s="38"/>
      <c r="AC212" s="38"/>
      <c r="AD212" s="38"/>
      <c r="AE212" s="38"/>
      <c r="AF212" s="38"/>
      <c r="AG212" s="38"/>
    </row>
    <row r="213" spans="1:33" x14ac:dyDescent="0.25">
      <c r="A213" s="38"/>
      <c r="B213" s="38"/>
      <c r="C213" s="38"/>
      <c r="D213" s="268"/>
      <c r="E213" s="38"/>
      <c r="F213" s="38"/>
      <c r="G213" s="38"/>
      <c r="H213" s="38"/>
      <c r="I213" s="38"/>
      <c r="J213" s="38"/>
      <c r="K213" s="38"/>
      <c r="L213" s="38"/>
      <c r="M213" s="38"/>
      <c r="N213" s="38"/>
      <c r="O213" s="205"/>
      <c r="P213" s="38"/>
      <c r="Q213" s="38"/>
      <c r="R213" s="38"/>
      <c r="S213" s="38"/>
      <c r="T213" s="38"/>
      <c r="U213" s="38"/>
      <c r="V213" s="38"/>
      <c r="W213" s="38"/>
      <c r="X213" s="38"/>
      <c r="Y213" s="38"/>
      <c r="Z213" s="38"/>
      <c r="AA213" s="38"/>
      <c r="AB213" s="38"/>
      <c r="AC213" s="38"/>
      <c r="AD213" s="38"/>
      <c r="AE213" s="38"/>
      <c r="AF213" s="38"/>
      <c r="AG213" s="38"/>
    </row>
    <row r="214" spans="1:33" x14ac:dyDescent="0.25">
      <c r="A214" s="38"/>
      <c r="B214" s="38"/>
      <c r="C214" s="38"/>
      <c r="D214" s="268"/>
      <c r="E214" s="38"/>
      <c r="F214" s="38"/>
      <c r="G214" s="38"/>
      <c r="H214" s="38"/>
      <c r="I214" s="38"/>
      <c r="J214" s="38"/>
      <c r="K214" s="38"/>
      <c r="L214" s="38"/>
      <c r="M214" s="38"/>
      <c r="N214" s="38"/>
      <c r="O214" s="205"/>
      <c r="P214" s="38"/>
      <c r="Q214" s="38"/>
      <c r="R214" s="38"/>
      <c r="S214" s="38"/>
      <c r="T214" s="38"/>
      <c r="U214" s="38"/>
      <c r="V214" s="38"/>
      <c r="W214" s="38"/>
      <c r="X214" s="38"/>
      <c r="Y214" s="38"/>
      <c r="Z214" s="38"/>
      <c r="AA214" s="38"/>
      <c r="AB214" s="38"/>
      <c r="AC214" s="38"/>
      <c r="AD214" s="38"/>
      <c r="AE214" s="38"/>
      <c r="AF214" s="38"/>
      <c r="AG214" s="38"/>
    </row>
    <row r="215" spans="1:33" x14ac:dyDescent="0.25">
      <c r="A215" s="38"/>
      <c r="B215" s="38"/>
      <c r="C215" s="38"/>
      <c r="D215" s="268"/>
      <c r="E215" s="38"/>
      <c r="F215" s="38"/>
      <c r="G215" s="38"/>
      <c r="H215" s="38"/>
      <c r="I215" s="38"/>
      <c r="J215" s="38"/>
      <c r="K215" s="38"/>
      <c r="L215" s="38"/>
      <c r="M215" s="38"/>
      <c r="N215" s="38"/>
      <c r="O215" s="205"/>
      <c r="P215" s="38"/>
      <c r="Q215" s="38"/>
      <c r="R215" s="38"/>
      <c r="S215" s="38"/>
      <c r="T215" s="38"/>
      <c r="U215" s="38"/>
      <c r="V215" s="38"/>
      <c r="W215" s="38"/>
      <c r="X215" s="38"/>
      <c r="Y215" s="38"/>
      <c r="Z215" s="38"/>
      <c r="AA215" s="38"/>
      <c r="AB215" s="38"/>
      <c r="AC215" s="38"/>
      <c r="AD215" s="38"/>
      <c r="AE215" s="38"/>
      <c r="AF215" s="38"/>
      <c r="AG215" s="38"/>
    </row>
    <row r="216" spans="1:33" x14ac:dyDescent="0.25">
      <c r="A216" s="38"/>
      <c r="B216" s="38"/>
      <c r="C216" s="38"/>
      <c r="D216" s="268"/>
      <c r="E216" s="38"/>
      <c r="F216" s="38"/>
      <c r="G216" s="38"/>
      <c r="H216" s="38"/>
      <c r="I216" s="38"/>
      <c r="J216" s="38"/>
      <c r="K216" s="38"/>
      <c r="L216" s="38"/>
      <c r="M216" s="38"/>
      <c r="N216" s="38"/>
      <c r="O216" s="205"/>
      <c r="P216" s="38"/>
      <c r="Q216" s="38"/>
      <c r="R216" s="38"/>
      <c r="S216" s="38"/>
      <c r="T216" s="38"/>
      <c r="U216" s="38"/>
      <c r="V216" s="38"/>
      <c r="W216" s="38"/>
      <c r="X216" s="38"/>
      <c r="Y216" s="38"/>
      <c r="Z216" s="38"/>
      <c r="AA216" s="38"/>
      <c r="AB216" s="38"/>
      <c r="AC216" s="38"/>
      <c r="AD216" s="38"/>
      <c r="AE216" s="38"/>
      <c r="AF216" s="38"/>
      <c r="AG216" s="38"/>
    </row>
    <row r="217" spans="1:33" x14ac:dyDescent="0.25">
      <c r="A217" s="38"/>
      <c r="B217" s="38"/>
      <c r="C217" s="38"/>
      <c r="D217" s="268"/>
      <c r="E217" s="38"/>
      <c r="F217" s="38"/>
      <c r="G217" s="38"/>
      <c r="H217" s="38"/>
      <c r="I217" s="38"/>
      <c r="J217" s="38"/>
      <c r="K217" s="38"/>
      <c r="L217" s="38"/>
      <c r="M217" s="38"/>
      <c r="N217" s="38"/>
      <c r="O217" s="205"/>
      <c r="P217" s="38"/>
      <c r="Q217" s="38"/>
      <c r="R217" s="38"/>
      <c r="S217" s="38"/>
      <c r="T217" s="38"/>
      <c r="U217" s="38"/>
      <c r="V217" s="38"/>
      <c r="W217" s="38"/>
      <c r="X217" s="38"/>
      <c r="Y217" s="38"/>
      <c r="Z217" s="38"/>
      <c r="AA217" s="38"/>
      <c r="AB217" s="38"/>
      <c r="AC217" s="38"/>
      <c r="AD217" s="38"/>
      <c r="AE217" s="38"/>
      <c r="AF217" s="38"/>
      <c r="AG217" s="38"/>
    </row>
    <row r="218" spans="1:33" x14ac:dyDescent="0.25">
      <c r="A218" s="38"/>
      <c r="B218" s="38"/>
      <c r="C218" s="38"/>
      <c r="D218" s="268"/>
      <c r="E218" s="38"/>
      <c r="F218" s="38"/>
      <c r="G218" s="38"/>
      <c r="H218" s="38"/>
      <c r="I218" s="38"/>
      <c r="J218" s="38"/>
      <c r="K218" s="38"/>
      <c r="L218" s="38"/>
      <c r="M218" s="38"/>
      <c r="N218" s="38"/>
      <c r="O218" s="205"/>
      <c r="P218" s="38"/>
      <c r="Q218" s="38"/>
      <c r="R218" s="38"/>
      <c r="S218" s="38"/>
      <c r="T218" s="38"/>
      <c r="U218" s="38"/>
      <c r="V218" s="38"/>
      <c r="W218" s="38"/>
      <c r="X218" s="38"/>
      <c r="Y218" s="38"/>
      <c r="Z218" s="38"/>
      <c r="AA218" s="38"/>
      <c r="AB218" s="38"/>
      <c r="AC218" s="38"/>
      <c r="AD218" s="38"/>
      <c r="AE218" s="38"/>
      <c r="AF218" s="38"/>
      <c r="AG218" s="38"/>
    </row>
    <row r="219" spans="1:33" x14ac:dyDescent="0.25">
      <c r="A219" s="38"/>
      <c r="B219" s="38"/>
      <c r="C219" s="38"/>
      <c r="D219" s="268"/>
      <c r="E219" s="38"/>
      <c r="F219" s="38"/>
      <c r="G219" s="38"/>
      <c r="H219" s="38"/>
      <c r="I219" s="38"/>
      <c r="J219" s="38"/>
      <c r="K219" s="38"/>
      <c r="L219" s="38"/>
      <c r="M219" s="38"/>
      <c r="N219" s="38"/>
      <c r="O219" s="205"/>
      <c r="P219" s="38"/>
      <c r="Q219" s="38"/>
      <c r="R219" s="38"/>
      <c r="S219" s="38"/>
      <c r="T219" s="38"/>
      <c r="U219" s="38"/>
      <c r="V219" s="38"/>
      <c r="W219" s="38"/>
      <c r="X219" s="38"/>
      <c r="Y219" s="38"/>
      <c r="Z219" s="38"/>
      <c r="AA219" s="38"/>
      <c r="AB219" s="38"/>
      <c r="AC219" s="38"/>
      <c r="AD219" s="38"/>
      <c r="AE219" s="38"/>
      <c r="AF219" s="38"/>
      <c r="AG219" s="38"/>
    </row>
    <row r="220" spans="1:33" x14ac:dyDescent="0.25">
      <c r="A220" s="38"/>
      <c r="B220" s="38"/>
      <c r="C220" s="38"/>
      <c r="D220" s="268"/>
      <c r="E220" s="38"/>
      <c r="F220" s="38"/>
      <c r="G220" s="38"/>
      <c r="H220" s="38"/>
      <c r="I220" s="38"/>
      <c r="J220" s="38"/>
      <c r="K220" s="38"/>
      <c r="L220" s="38"/>
      <c r="M220" s="38"/>
      <c r="N220" s="38"/>
      <c r="O220" s="205"/>
      <c r="P220" s="38"/>
      <c r="Q220" s="38"/>
      <c r="R220" s="38"/>
      <c r="S220" s="38"/>
      <c r="T220" s="38"/>
      <c r="U220" s="38"/>
      <c r="V220" s="38"/>
      <c r="W220" s="38"/>
      <c r="X220" s="38"/>
      <c r="Y220" s="38"/>
      <c r="Z220" s="38"/>
      <c r="AA220" s="38"/>
      <c r="AB220" s="38"/>
      <c r="AC220" s="38"/>
      <c r="AD220" s="38"/>
      <c r="AE220" s="38"/>
      <c r="AF220" s="38"/>
      <c r="AG220" s="38"/>
    </row>
    <row r="221" spans="1:33" x14ac:dyDescent="0.25">
      <c r="A221" s="38"/>
      <c r="B221" s="38"/>
      <c r="C221" s="38"/>
      <c r="D221" s="268"/>
      <c r="E221" s="38"/>
      <c r="F221" s="38"/>
      <c r="G221" s="38"/>
      <c r="H221" s="38"/>
      <c r="I221" s="38"/>
      <c r="J221" s="38"/>
      <c r="K221" s="38"/>
      <c r="L221" s="38"/>
      <c r="M221" s="38"/>
      <c r="N221" s="38"/>
      <c r="O221" s="205"/>
      <c r="P221" s="38"/>
      <c r="Q221" s="38"/>
      <c r="R221" s="38"/>
      <c r="S221" s="38"/>
      <c r="T221" s="38"/>
      <c r="U221" s="38"/>
      <c r="V221" s="38"/>
      <c r="W221" s="38"/>
      <c r="X221" s="38"/>
      <c r="Y221" s="38"/>
      <c r="Z221" s="38"/>
      <c r="AA221" s="38"/>
      <c r="AB221" s="38"/>
      <c r="AC221" s="38"/>
      <c r="AD221" s="38"/>
      <c r="AE221" s="38"/>
      <c r="AF221" s="38"/>
      <c r="AG221" s="38"/>
    </row>
    <row r="222" spans="1:33" x14ac:dyDescent="0.25">
      <c r="A222" s="38"/>
      <c r="B222" s="38"/>
      <c r="C222" s="38"/>
      <c r="D222" s="268"/>
      <c r="E222" s="38"/>
      <c r="F222" s="38"/>
      <c r="G222" s="38"/>
      <c r="H222" s="38"/>
      <c r="I222" s="38"/>
      <c r="J222" s="38"/>
      <c r="K222" s="38"/>
      <c r="L222" s="38"/>
      <c r="M222" s="38"/>
      <c r="N222" s="38"/>
      <c r="O222" s="205"/>
      <c r="P222" s="38"/>
      <c r="Q222" s="38"/>
      <c r="R222" s="38"/>
      <c r="S222" s="38"/>
      <c r="T222" s="38"/>
      <c r="U222" s="38"/>
      <c r="V222" s="38"/>
      <c r="W222" s="38"/>
      <c r="X222" s="38"/>
      <c r="Y222" s="38"/>
      <c r="Z222" s="38"/>
      <c r="AA222" s="38"/>
      <c r="AB222" s="38"/>
      <c r="AC222" s="38"/>
      <c r="AD222" s="38"/>
      <c r="AE222" s="38"/>
      <c r="AF222" s="38"/>
      <c r="AG222" s="38"/>
    </row>
    <row r="223" spans="1:33" x14ac:dyDescent="0.25">
      <c r="A223" s="38"/>
      <c r="B223" s="38"/>
      <c r="C223" s="38"/>
      <c r="D223" s="268"/>
      <c r="E223" s="38"/>
      <c r="F223" s="38"/>
      <c r="G223" s="38"/>
      <c r="H223" s="38"/>
      <c r="I223" s="38"/>
      <c r="J223" s="38"/>
      <c r="K223" s="38"/>
      <c r="L223" s="38"/>
      <c r="M223" s="38"/>
      <c r="N223" s="38"/>
      <c r="O223" s="205"/>
      <c r="P223" s="38"/>
      <c r="Q223" s="38"/>
      <c r="R223" s="38"/>
      <c r="S223" s="38"/>
      <c r="T223" s="38"/>
      <c r="U223" s="38"/>
      <c r="V223" s="38"/>
      <c r="W223" s="38"/>
      <c r="X223" s="38"/>
      <c r="Y223" s="38"/>
      <c r="Z223" s="38"/>
      <c r="AA223" s="38"/>
      <c r="AB223" s="38"/>
      <c r="AC223" s="38"/>
      <c r="AD223" s="38"/>
      <c r="AE223" s="38"/>
      <c r="AF223" s="38"/>
      <c r="AG223" s="38"/>
    </row>
    <row r="224" spans="1:33" x14ac:dyDescent="0.25">
      <c r="A224" s="38"/>
      <c r="B224" s="38"/>
      <c r="C224" s="38"/>
      <c r="D224" s="268"/>
      <c r="E224" s="38"/>
      <c r="F224" s="38"/>
      <c r="G224" s="38"/>
      <c r="H224" s="38"/>
      <c r="I224" s="38"/>
      <c r="J224" s="38"/>
      <c r="K224" s="38"/>
      <c r="L224" s="38"/>
      <c r="M224" s="38"/>
      <c r="N224" s="38"/>
      <c r="O224" s="205"/>
      <c r="P224" s="38"/>
      <c r="Q224" s="38"/>
      <c r="R224" s="38"/>
      <c r="S224" s="38"/>
      <c r="T224" s="38"/>
      <c r="U224" s="38"/>
      <c r="V224" s="38"/>
      <c r="W224" s="38"/>
      <c r="X224" s="38"/>
      <c r="Y224" s="38"/>
      <c r="Z224" s="38"/>
      <c r="AA224" s="38"/>
      <c r="AB224" s="38"/>
      <c r="AC224" s="38"/>
      <c r="AD224" s="38"/>
      <c r="AE224" s="38"/>
      <c r="AF224" s="38"/>
      <c r="AG224" s="38"/>
    </row>
    <row r="225" spans="1:33" x14ac:dyDescent="0.25">
      <c r="A225" s="38"/>
      <c r="B225" s="38"/>
      <c r="C225" s="38"/>
      <c r="D225" s="268"/>
      <c r="E225" s="38"/>
      <c r="F225" s="38"/>
      <c r="G225" s="38"/>
      <c r="H225" s="38"/>
      <c r="I225" s="38"/>
      <c r="J225" s="38"/>
      <c r="K225" s="38"/>
      <c r="L225" s="38"/>
      <c r="M225" s="38"/>
      <c r="N225" s="38"/>
      <c r="O225" s="205"/>
      <c r="P225" s="38"/>
      <c r="Q225" s="38"/>
      <c r="R225" s="38"/>
      <c r="S225" s="38"/>
      <c r="T225" s="38"/>
      <c r="U225" s="38"/>
      <c r="V225" s="38"/>
      <c r="W225" s="38"/>
      <c r="X225" s="38"/>
      <c r="Y225" s="38"/>
      <c r="Z225" s="38"/>
      <c r="AA225" s="38"/>
      <c r="AB225" s="38"/>
      <c r="AC225" s="38"/>
      <c r="AD225" s="38"/>
      <c r="AE225" s="38"/>
      <c r="AF225" s="38"/>
      <c r="AG225" s="38"/>
    </row>
    <row r="226" spans="1:33" x14ac:dyDescent="0.25">
      <c r="A226" s="38"/>
      <c r="B226" s="38"/>
      <c r="C226" s="38"/>
      <c r="D226" s="268"/>
      <c r="E226" s="38"/>
      <c r="F226" s="38"/>
      <c r="G226" s="38"/>
      <c r="H226" s="38"/>
      <c r="I226" s="38"/>
      <c r="J226" s="38"/>
      <c r="K226" s="38"/>
      <c r="L226" s="38"/>
      <c r="M226" s="38"/>
      <c r="N226" s="38"/>
      <c r="O226" s="205"/>
      <c r="P226" s="38"/>
      <c r="Q226" s="38"/>
      <c r="R226" s="38"/>
      <c r="S226" s="38"/>
      <c r="T226" s="38"/>
      <c r="U226" s="38"/>
      <c r="V226" s="38"/>
      <c r="W226" s="38"/>
      <c r="X226" s="38"/>
      <c r="Y226" s="38"/>
      <c r="Z226" s="38"/>
      <c r="AA226" s="38"/>
      <c r="AB226" s="38"/>
      <c r="AC226" s="38"/>
      <c r="AD226" s="38"/>
      <c r="AE226" s="38"/>
      <c r="AF226" s="38"/>
      <c r="AG226" s="38"/>
    </row>
    <row r="227" spans="1:33" x14ac:dyDescent="0.25">
      <c r="A227" s="38"/>
      <c r="B227" s="38"/>
      <c r="C227" s="38"/>
      <c r="D227" s="268"/>
      <c r="E227" s="38"/>
      <c r="F227" s="38"/>
      <c r="G227" s="38"/>
      <c r="H227" s="38"/>
      <c r="I227" s="38"/>
      <c r="J227" s="38"/>
      <c r="K227" s="38"/>
      <c r="L227" s="38"/>
      <c r="M227" s="38"/>
      <c r="N227" s="38"/>
      <c r="O227" s="205"/>
      <c r="P227" s="38"/>
      <c r="Q227" s="38"/>
      <c r="R227" s="38"/>
      <c r="S227" s="38"/>
      <c r="T227" s="38"/>
      <c r="U227" s="38"/>
      <c r="V227" s="38"/>
      <c r="W227" s="38"/>
      <c r="X227" s="38"/>
      <c r="Y227" s="38"/>
      <c r="Z227" s="38"/>
      <c r="AA227" s="38"/>
      <c r="AB227" s="38"/>
      <c r="AC227" s="38"/>
      <c r="AD227" s="38"/>
      <c r="AE227" s="38"/>
      <c r="AF227" s="38"/>
      <c r="AG227" s="38"/>
    </row>
    <row r="228" spans="1:33" x14ac:dyDescent="0.25">
      <c r="A228" s="38"/>
      <c r="B228" s="38"/>
      <c r="C228" s="38"/>
      <c r="D228" s="268"/>
      <c r="E228" s="38"/>
      <c r="F228" s="38"/>
      <c r="G228" s="38"/>
      <c r="H228" s="38"/>
      <c r="I228" s="38"/>
      <c r="J228" s="38"/>
      <c r="K228" s="38"/>
      <c r="L228" s="38"/>
      <c r="M228" s="38"/>
      <c r="N228" s="38"/>
      <c r="O228" s="205"/>
      <c r="P228" s="38"/>
      <c r="Q228" s="38"/>
      <c r="R228" s="38"/>
      <c r="S228" s="38"/>
      <c r="T228" s="38"/>
      <c r="U228" s="38"/>
      <c r="V228" s="38"/>
      <c r="W228" s="38"/>
      <c r="X228" s="38"/>
      <c r="Y228" s="38"/>
      <c r="Z228" s="38"/>
      <c r="AA228" s="38"/>
      <c r="AB228" s="38"/>
      <c r="AC228" s="38"/>
      <c r="AD228" s="38"/>
      <c r="AE228" s="38"/>
      <c r="AF228" s="38"/>
      <c r="AG228" s="38"/>
    </row>
    <row r="229" spans="1:33" x14ac:dyDescent="0.25">
      <c r="A229" s="38"/>
      <c r="B229" s="38"/>
      <c r="C229" s="38"/>
      <c r="D229" s="268"/>
      <c r="E229" s="38"/>
      <c r="F229" s="38"/>
      <c r="G229" s="38"/>
      <c r="H229" s="38"/>
      <c r="I229" s="38"/>
      <c r="J229" s="38"/>
      <c r="K229" s="38"/>
      <c r="L229" s="38"/>
      <c r="M229" s="38"/>
      <c r="N229" s="38"/>
      <c r="O229" s="205"/>
      <c r="P229" s="38"/>
      <c r="Q229" s="38"/>
      <c r="R229" s="38"/>
      <c r="S229" s="38"/>
      <c r="T229" s="38"/>
      <c r="U229" s="38"/>
      <c r="V229" s="38"/>
      <c r="W229" s="38"/>
      <c r="X229" s="38"/>
      <c r="Y229" s="38"/>
      <c r="Z229" s="38"/>
      <c r="AA229" s="38"/>
      <c r="AB229" s="38"/>
      <c r="AC229" s="38"/>
      <c r="AD229" s="38"/>
      <c r="AE229" s="38"/>
      <c r="AF229" s="38"/>
      <c r="AG229" s="38"/>
    </row>
    <row r="230" spans="1:33" x14ac:dyDescent="0.25">
      <c r="A230" s="38"/>
      <c r="B230" s="38"/>
      <c r="C230" s="38"/>
      <c r="D230" s="268"/>
      <c r="E230" s="38"/>
      <c r="F230" s="38"/>
      <c r="G230" s="38"/>
      <c r="H230" s="38"/>
      <c r="I230" s="38"/>
      <c r="J230" s="38"/>
      <c r="K230" s="38"/>
      <c r="L230" s="38"/>
      <c r="M230" s="38"/>
      <c r="N230" s="38"/>
      <c r="O230" s="205"/>
      <c r="P230" s="38"/>
      <c r="Q230" s="38"/>
      <c r="R230" s="38"/>
      <c r="S230" s="38"/>
      <c r="T230" s="38"/>
      <c r="U230" s="38"/>
      <c r="V230" s="38"/>
      <c r="W230" s="38"/>
      <c r="X230" s="38"/>
      <c r="Y230" s="38"/>
      <c r="Z230" s="38"/>
      <c r="AA230" s="38"/>
      <c r="AB230" s="38"/>
      <c r="AC230" s="38"/>
      <c r="AD230" s="38"/>
      <c r="AE230" s="38"/>
      <c r="AF230" s="38"/>
      <c r="AG230" s="38"/>
    </row>
    <row r="231" spans="1:33" x14ac:dyDescent="0.25">
      <c r="A231" s="38"/>
      <c r="B231" s="38"/>
      <c r="C231" s="38"/>
      <c r="D231" s="268"/>
      <c r="E231" s="38"/>
      <c r="F231" s="38"/>
      <c r="G231" s="38"/>
      <c r="H231" s="38"/>
      <c r="I231" s="38"/>
      <c r="J231" s="38"/>
      <c r="K231" s="38"/>
      <c r="L231" s="38"/>
      <c r="M231" s="38"/>
      <c r="N231" s="38"/>
      <c r="O231" s="205"/>
      <c r="P231" s="38"/>
      <c r="Q231" s="38"/>
      <c r="R231" s="38"/>
      <c r="S231" s="38"/>
      <c r="T231" s="38"/>
      <c r="U231" s="38"/>
      <c r="V231" s="38"/>
      <c r="W231" s="38"/>
      <c r="X231" s="38"/>
      <c r="Y231" s="38"/>
      <c r="Z231" s="38"/>
      <c r="AA231" s="38"/>
      <c r="AB231" s="38"/>
      <c r="AC231" s="38"/>
      <c r="AD231" s="38"/>
      <c r="AE231" s="38"/>
      <c r="AF231" s="38"/>
      <c r="AG231" s="38"/>
    </row>
    <row r="232" spans="1:33" x14ac:dyDescent="0.25">
      <c r="A232" s="38"/>
      <c r="B232" s="38"/>
      <c r="C232" s="38"/>
      <c r="D232" s="268"/>
      <c r="E232" s="38"/>
      <c r="F232" s="38"/>
      <c r="G232" s="38"/>
      <c r="H232" s="38"/>
      <c r="I232" s="38"/>
      <c r="J232" s="38"/>
      <c r="K232" s="38"/>
      <c r="L232" s="38"/>
      <c r="M232" s="38"/>
      <c r="N232" s="38"/>
      <c r="O232" s="205"/>
      <c r="P232" s="38"/>
      <c r="Q232" s="38"/>
      <c r="R232" s="38"/>
      <c r="S232" s="38"/>
      <c r="T232" s="38"/>
      <c r="U232" s="38"/>
      <c r="V232" s="38"/>
      <c r="W232" s="38"/>
      <c r="X232" s="38"/>
      <c r="Y232" s="38"/>
      <c r="Z232" s="38"/>
      <c r="AA232" s="38"/>
      <c r="AB232" s="38"/>
      <c r="AC232" s="38"/>
      <c r="AD232" s="38"/>
      <c r="AE232" s="38"/>
      <c r="AF232" s="38"/>
      <c r="AG232" s="38"/>
    </row>
    <row r="233" spans="1:33" x14ac:dyDescent="0.25">
      <c r="A233" s="38"/>
      <c r="B233" s="38"/>
      <c r="C233" s="38"/>
      <c r="D233" s="268"/>
      <c r="E233" s="38"/>
      <c r="F233" s="38"/>
      <c r="G233" s="38"/>
      <c r="H233" s="38"/>
      <c r="I233" s="38"/>
      <c r="J233" s="38"/>
      <c r="K233" s="38"/>
      <c r="L233" s="38"/>
      <c r="M233" s="38"/>
      <c r="N233" s="38"/>
      <c r="O233" s="205"/>
      <c r="P233" s="38"/>
      <c r="Q233" s="38"/>
      <c r="R233" s="38"/>
      <c r="S233" s="38"/>
      <c r="T233" s="38"/>
      <c r="U233" s="38"/>
      <c r="V233" s="38"/>
      <c r="W233" s="38"/>
      <c r="X233" s="38"/>
      <c r="Y233" s="38"/>
      <c r="Z233" s="38"/>
      <c r="AA233" s="38"/>
      <c r="AB233" s="38"/>
      <c r="AC233" s="38"/>
      <c r="AD233" s="38"/>
      <c r="AE233" s="38"/>
      <c r="AF233" s="38"/>
      <c r="AG233" s="38"/>
    </row>
    <row r="234" spans="1:33" x14ac:dyDescent="0.25">
      <c r="A234" s="38"/>
      <c r="B234" s="38"/>
      <c r="C234" s="38"/>
      <c r="D234" s="268"/>
      <c r="E234" s="38"/>
      <c r="F234" s="38"/>
      <c r="G234" s="38"/>
      <c r="H234" s="38"/>
      <c r="I234" s="38"/>
      <c r="J234" s="38"/>
      <c r="K234" s="38"/>
      <c r="L234" s="38"/>
      <c r="M234" s="38"/>
      <c r="N234" s="38"/>
      <c r="O234" s="205"/>
      <c r="P234" s="38"/>
      <c r="Q234" s="38"/>
      <c r="R234" s="38"/>
      <c r="S234" s="38"/>
      <c r="T234" s="38"/>
      <c r="U234" s="38"/>
      <c r="V234" s="38"/>
      <c r="W234" s="38"/>
      <c r="X234" s="38"/>
      <c r="Y234" s="38"/>
      <c r="Z234" s="38"/>
      <c r="AA234" s="38"/>
      <c r="AB234" s="38"/>
      <c r="AC234" s="38"/>
      <c r="AD234" s="38"/>
      <c r="AE234" s="38"/>
      <c r="AF234" s="38"/>
      <c r="AG234" s="38"/>
    </row>
    <row r="235" spans="1:33" x14ac:dyDescent="0.25">
      <c r="A235" s="38"/>
      <c r="B235" s="38"/>
      <c r="C235" s="38"/>
      <c r="D235" s="268"/>
      <c r="E235" s="38"/>
      <c r="F235" s="38"/>
      <c r="G235" s="38"/>
      <c r="H235" s="38"/>
      <c r="I235" s="38"/>
      <c r="J235" s="38"/>
      <c r="K235" s="38"/>
      <c r="L235" s="38"/>
      <c r="M235" s="38"/>
      <c r="N235" s="38"/>
      <c r="O235" s="205"/>
      <c r="P235" s="38"/>
      <c r="Q235" s="38"/>
      <c r="R235" s="38"/>
      <c r="S235" s="38"/>
      <c r="T235" s="38"/>
      <c r="U235" s="38"/>
      <c r="V235" s="38"/>
      <c r="W235" s="38"/>
      <c r="X235" s="38"/>
      <c r="Y235" s="38"/>
      <c r="Z235" s="38"/>
      <c r="AA235" s="38"/>
      <c r="AB235" s="38"/>
      <c r="AC235" s="38"/>
      <c r="AD235" s="38"/>
      <c r="AE235" s="38"/>
      <c r="AF235" s="38"/>
      <c r="AG235" s="38"/>
    </row>
    <row r="236" spans="1:33" x14ac:dyDescent="0.25">
      <c r="A236" s="38"/>
      <c r="B236" s="38"/>
      <c r="C236" s="38"/>
      <c r="D236" s="268"/>
      <c r="E236" s="38"/>
      <c r="F236" s="38"/>
      <c r="G236" s="38"/>
      <c r="H236" s="38"/>
      <c r="I236" s="38"/>
      <c r="J236" s="38"/>
      <c r="K236" s="38"/>
      <c r="L236" s="38"/>
      <c r="M236" s="38"/>
      <c r="N236" s="38"/>
      <c r="O236" s="205"/>
      <c r="P236" s="38"/>
      <c r="Q236" s="38"/>
      <c r="R236" s="38"/>
      <c r="S236" s="38"/>
      <c r="T236" s="38"/>
      <c r="U236" s="38"/>
      <c r="V236" s="38"/>
      <c r="W236" s="38"/>
      <c r="X236" s="38"/>
      <c r="Y236" s="38"/>
      <c r="Z236" s="38"/>
      <c r="AA236" s="38"/>
      <c r="AB236" s="38"/>
      <c r="AC236" s="38"/>
      <c r="AD236" s="38"/>
      <c r="AE236" s="38"/>
      <c r="AF236" s="38"/>
      <c r="AG236" s="38"/>
    </row>
    <row r="237" spans="1:33" x14ac:dyDescent="0.25">
      <c r="A237" s="38"/>
      <c r="B237" s="38"/>
      <c r="C237" s="38"/>
      <c r="D237" s="268"/>
      <c r="E237" s="38"/>
      <c r="F237" s="38"/>
      <c r="G237" s="38"/>
      <c r="H237" s="38"/>
      <c r="I237" s="38"/>
      <c r="J237" s="38"/>
      <c r="K237" s="38"/>
      <c r="L237" s="38"/>
      <c r="M237" s="38"/>
      <c r="N237" s="38"/>
      <c r="O237" s="205"/>
      <c r="P237" s="38"/>
      <c r="Q237" s="38"/>
      <c r="R237" s="38"/>
      <c r="S237" s="38"/>
      <c r="T237" s="38"/>
      <c r="U237" s="38"/>
      <c r="V237" s="38"/>
      <c r="W237" s="38"/>
      <c r="X237" s="38"/>
      <c r="Y237" s="38"/>
      <c r="Z237" s="38"/>
      <c r="AA237" s="38"/>
      <c r="AB237" s="38"/>
      <c r="AC237" s="38"/>
      <c r="AD237" s="38"/>
      <c r="AE237" s="38"/>
      <c r="AF237" s="38"/>
      <c r="AG237" s="38"/>
    </row>
    <row r="238" spans="1:33" x14ac:dyDescent="0.25">
      <c r="A238" s="38"/>
      <c r="B238" s="38"/>
      <c r="C238" s="38"/>
      <c r="D238" s="268"/>
      <c r="E238" s="38"/>
      <c r="F238" s="38"/>
      <c r="G238" s="38"/>
      <c r="H238" s="38"/>
      <c r="I238" s="38"/>
      <c r="J238" s="38"/>
      <c r="K238" s="38"/>
      <c r="L238" s="38"/>
      <c r="M238" s="38"/>
      <c r="N238" s="38"/>
      <c r="O238" s="205"/>
      <c r="P238" s="38"/>
      <c r="Q238" s="38"/>
      <c r="R238" s="38"/>
      <c r="S238" s="38"/>
      <c r="T238" s="38"/>
      <c r="U238" s="38"/>
      <c r="V238" s="38"/>
      <c r="W238" s="38"/>
      <c r="X238" s="38"/>
      <c r="Y238" s="38"/>
      <c r="Z238" s="38"/>
      <c r="AA238" s="38"/>
      <c r="AB238" s="38"/>
      <c r="AC238" s="38"/>
      <c r="AD238" s="38"/>
      <c r="AE238" s="38"/>
      <c r="AF238" s="38"/>
      <c r="AG238" s="38"/>
    </row>
    <row r="239" spans="1:33" x14ac:dyDescent="0.25">
      <c r="A239" s="38"/>
      <c r="B239" s="38"/>
      <c r="C239" s="38"/>
      <c r="D239" s="268"/>
      <c r="E239" s="38"/>
      <c r="F239" s="38"/>
      <c r="G239" s="38"/>
      <c r="H239" s="38"/>
      <c r="I239" s="38"/>
      <c r="J239" s="38"/>
      <c r="K239" s="38"/>
      <c r="L239" s="38"/>
      <c r="M239" s="38"/>
      <c r="N239" s="38"/>
      <c r="O239" s="205"/>
      <c r="P239" s="38"/>
      <c r="Q239" s="38"/>
      <c r="R239" s="38"/>
      <c r="S239" s="38"/>
      <c r="T239" s="38"/>
      <c r="U239" s="38"/>
      <c r="V239" s="38"/>
      <c r="W239" s="38"/>
      <c r="X239" s="38"/>
      <c r="Y239" s="38"/>
      <c r="Z239" s="38"/>
      <c r="AA239" s="38"/>
      <c r="AB239" s="38"/>
      <c r="AC239" s="38"/>
      <c r="AD239" s="38"/>
      <c r="AE239" s="38"/>
      <c r="AF239" s="38"/>
      <c r="AG239" s="38"/>
    </row>
    <row r="240" spans="1:33" x14ac:dyDescent="0.25">
      <c r="A240" s="38"/>
      <c r="B240" s="38"/>
      <c r="C240" s="38"/>
      <c r="D240" s="268"/>
      <c r="E240" s="38"/>
      <c r="F240" s="38"/>
      <c r="G240" s="38"/>
      <c r="H240" s="38"/>
      <c r="I240" s="38"/>
      <c r="J240" s="38"/>
      <c r="K240" s="38"/>
      <c r="L240" s="38"/>
      <c r="M240" s="38"/>
      <c r="N240" s="38"/>
      <c r="O240" s="205"/>
      <c r="P240" s="38"/>
      <c r="Q240" s="38"/>
      <c r="R240" s="38"/>
      <c r="S240" s="38"/>
      <c r="T240" s="38"/>
      <c r="U240" s="38"/>
      <c r="V240" s="38"/>
      <c r="W240" s="38"/>
      <c r="X240" s="38"/>
      <c r="Y240" s="38"/>
      <c r="Z240" s="38"/>
      <c r="AA240" s="38"/>
      <c r="AB240" s="38"/>
      <c r="AC240" s="38"/>
      <c r="AD240" s="38"/>
      <c r="AE240" s="38"/>
      <c r="AF240" s="38"/>
      <c r="AG240" s="38"/>
    </row>
    <row r="241" spans="1:33" x14ac:dyDescent="0.25">
      <c r="A241" s="38"/>
      <c r="B241" s="38"/>
      <c r="C241" s="38"/>
      <c r="D241" s="268"/>
      <c r="E241" s="38"/>
      <c r="F241" s="38"/>
      <c r="G241" s="38"/>
      <c r="H241" s="38"/>
      <c r="I241" s="38"/>
      <c r="J241" s="38"/>
      <c r="K241" s="38"/>
      <c r="L241" s="38"/>
      <c r="M241" s="38"/>
      <c r="N241" s="38"/>
      <c r="O241" s="205"/>
      <c r="P241" s="38"/>
      <c r="Q241" s="38"/>
      <c r="R241" s="38"/>
      <c r="S241" s="38"/>
      <c r="T241" s="38"/>
      <c r="U241" s="38"/>
      <c r="V241" s="38"/>
      <c r="W241" s="38"/>
      <c r="X241" s="38"/>
      <c r="Y241" s="38"/>
      <c r="Z241" s="38"/>
      <c r="AA241" s="38"/>
      <c r="AB241" s="38"/>
      <c r="AC241" s="38"/>
      <c r="AD241" s="38"/>
      <c r="AE241" s="38"/>
      <c r="AF241" s="38"/>
      <c r="AG241" s="38"/>
    </row>
    <row r="242" spans="1:33" x14ac:dyDescent="0.25">
      <c r="A242" s="38"/>
      <c r="B242" s="38"/>
      <c r="C242" s="38"/>
      <c r="D242" s="268"/>
      <c r="E242" s="38"/>
      <c r="F242" s="38"/>
      <c r="G242" s="38"/>
      <c r="H242" s="38"/>
      <c r="I242" s="38"/>
      <c r="J242" s="38"/>
      <c r="K242" s="38"/>
      <c r="L242" s="38"/>
      <c r="M242" s="38"/>
      <c r="N242" s="38"/>
      <c r="O242" s="205"/>
      <c r="P242" s="38"/>
      <c r="Q242" s="38"/>
      <c r="R242" s="38"/>
      <c r="S242" s="38"/>
      <c r="T242" s="38"/>
      <c r="U242" s="38"/>
      <c r="V242" s="38"/>
      <c r="W242" s="38"/>
      <c r="X242" s="38"/>
      <c r="Y242" s="38"/>
      <c r="Z242" s="38"/>
      <c r="AA242" s="38"/>
      <c r="AB242" s="38"/>
      <c r="AC242" s="38"/>
      <c r="AD242" s="38"/>
      <c r="AE242" s="38"/>
      <c r="AF242" s="38"/>
      <c r="AG242" s="38"/>
    </row>
    <row r="243" spans="1:33" x14ac:dyDescent="0.25">
      <c r="A243" s="38"/>
      <c r="B243" s="38"/>
      <c r="C243" s="38"/>
      <c r="D243" s="268"/>
      <c r="E243" s="38"/>
      <c r="F243" s="38"/>
      <c r="G243" s="38"/>
      <c r="H243" s="38"/>
      <c r="I243" s="38"/>
      <c r="J243" s="38"/>
      <c r="K243" s="38"/>
      <c r="L243" s="38"/>
      <c r="M243" s="38"/>
      <c r="N243" s="38"/>
      <c r="O243" s="205"/>
      <c r="P243" s="38"/>
      <c r="Q243" s="38"/>
      <c r="R243" s="38"/>
      <c r="S243" s="38"/>
      <c r="T243" s="38"/>
      <c r="U243" s="38"/>
      <c r="V243" s="38"/>
      <c r="W243" s="38"/>
      <c r="X243" s="38"/>
      <c r="Y243" s="38"/>
      <c r="Z243" s="38"/>
      <c r="AA243" s="38"/>
      <c r="AB243" s="38"/>
      <c r="AC243" s="38"/>
      <c r="AD243" s="38"/>
      <c r="AE243" s="38"/>
      <c r="AF243" s="38"/>
      <c r="AG243" s="38"/>
    </row>
    <row r="244" spans="1:33" x14ac:dyDescent="0.25">
      <c r="A244" s="38"/>
      <c r="B244" s="38"/>
      <c r="C244" s="38"/>
      <c r="D244" s="268"/>
      <c r="E244" s="38"/>
      <c r="F244" s="38"/>
      <c r="G244" s="38"/>
      <c r="H244" s="38"/>
      <c r="I244" s="38"/>
      <c r="J244" s="38"/>
      <c r="K244" s="38"/>
      <c r="L244" s="38"/>
      <c r="M244" s="38"/>
      <c r="N244" s="38"/>
      <c r="O244" s="205"/>
      <c r="P244" s="38"/>
      <c r="Q244" s="38"/>
      <c r="R244" s="38"/>
      <c r="S244" s="38"/>
      <c r="T244" s="38"/>
      <c r="U244" s="38"/>
      <c r="V244" s="38"/>
      <c r="W244" s="38"/>
      <c r="X244" s="38"/>
      <c r="Y244" s="38"/>
      <c r="Z244" s="38"/>
      <c r="AA244" s="38"/>
      <c r="AB244" s="38"/>
      <c r="AC244" s="38"/>
      <c r="AD244" s="38"/>
      <c r="AE244" s="38"/>
      <c r="AF244" s="38"/>
      <c r="AG244" s="38"/>
    </row>
    <row r="245" spans="1:33" x14ac:dyDescent="0.25">
      <c r="A245" s="38"/>
      <c r="B245" s="38"/>
      <c r="C245" s="38"/>
      <c r="D245" s="268"/>
      <c r="E245" s="38"/>
      <c r="F245" s="38"/>
      <c r="G245" s="38"/>
      <c r="H245" s="38"/>
      <c r="I245" s="38"/>
      <c r="J245" s="38"/>
      <c r="K245" s="38"/>
      <c r="L245" s="38"/>
      <c r="M245" s="38"/>
      <c r="N245" s="38"/>
      <c r="O245" s="205"/>
      <c r="P245" s="38"/>
      <c r="Q245" s="38"/>
      <c r="R245" s="38"/>
      <c r="S245" s="38"/>
      <c r="T245" s="38"/>
      <c r="U245" s="38"/>
      <c r="V245" s="38"/>
      <c r="W245" s="38"/>
      <c r="X245" s="38"/>
      <c r="Y245" s="38"/>
      <c r="Z245" s="38"/>
      <c r="AA245" s="38"/>
      <c r="AB245" s="38"/>
      <c r="AC245" s="38"/>
      <c r="AD245" s="38"/>
      <c r="AE245" s="38"/>
      <c r="AF245" s="38"/>
      <c r="AG245" s="38"/>
    </row>
    <row r="246" spans="1:33" x14ac:dyDescent="0.25">
      <c r="A246" s="38"/>
      <c r="B246" s="38"/>
      <c r="C246" s="38"/>
      <c r="D246" s="268"/>
      <c r="E246" s="38"/>
      <c r="F246" s="38"/>
      <c r="G246" s="38"/>
      <c r="H246" s="38"/>
      <c r="I246" s="38"/>
      <c r="J246" s="38"/>
      <c r="K246" s="38"/>
      <c r="L246" s="38"/>
      <c r="M246" s="38"/>
      <c r="N246" s="38"/>
      <c r="O246" s="205"/>
      <c r="P246" s="38"/>
      <c r="Q246" s="38"/>
      <c r="R246" s="38"/>
      <c r="S246" s="38"/>
      <c r="T246" s="38"/>
      <c r="U246" s="38"/>
      <c r="V246" s="38"/>
      <c r="W246" s="38"/>
      <c r="X246" s="38"/>
      <c r="Y246" s="38"/>
      <c r="Z246" s="38"/>
      <c r="AA246" s="38"/>
      <c r="AB246" s="38"/>
      <c r="AC246" s="38"/>
      <c r="AD246" s="38"/>
      <c r="AE246" s="38"/>
      <c r="AF246" s="38"/>
      <c r="AG246" s="38"/>
    </row>
    <row r="247" spans="1:33" x14ac:dyDescent="0.25">
      <c r="A247" s="38"/>
      <c r="B247" s="38"/>
      <c r="C247" s="38"/>
      <c r="D247" s="268"/>
      <c r="E247" s="38"/>
      <c r="F247" s="38"/>
      <c r="G247" s="38"/>
      <c r="H247" s="38"/>
      <c r="I247" s="38"/>
      <c r="J247" s="38"/>
      <c r="K247" s="38"/>
      <c r="L247" s="38"/>
      <c r="M247" s="38"/>
      <c r="N247" s="38"/>
      <c r="O247" s="205"/>
      <c r="P247" s="38"/>
      <c r="Q247" s="38"/>
      <c r="R247" s="38"/>
      <c r="S247" s="38"/>
      <c r="T247" s="38"/>
      <c r="U247" s="38"/>
      <c r="V247" s="38"/>
      <c r="W247" s="38"/>
      <c r="X247" s="38"/>
      <c r="Y247" s="38"/>
      <c r="Z247" s="38"/>
      <c r="AA247" s="38"/>
      <c r="AB247" s="38"/>
      <c r="AC247" s="38"/>
      <c r="AD247" s="38"/>
      <c r="AE247" s="38"/>
      <c r="AF247" s="38"/>
      <c r="AG247" s="38"/>
    </row>
    <row r="248" spans="1:33" x14ac:dyDescent="0.25">
      <c r="A248" s="38"/>
      <c r="B248" s="38"/>
      <c r="C248" s="38"/>
      <c r="D248" s="268"/>
      <c r="E248" s="38"/>
      <c r="F248" s="38"/>
      <c r="G248" s="38"/>
      <c r="H248" s="38"/>
      <c r="I248" s="38"/>
      <c r="J248" s="38"/>
      <c r="K248" s="38"/>
      <c r="L248" s="38"/>
      <c r="M248" s="38"/>
      <c r="N248" s="38"/>
      <c r="O248" s="205"/>
      <c r="P248" s="38"/>
      <c r="Q248" s="38"/>
      <c r="R248" s="38"/>
      <c r="S248" s="38"/>
      <c r="T248" s="38"/>
      <c r="U248" s="38"/>
      <c r="V248" s="38"/>
      <c r="W248" s="38"/>
      <c r="X248" s="38"/>
      <c r="Y248" s="38"/>
      <c r="Z248" s="38"/>
      <c r="AA248" s="38"/>
      <c r="AB248" s="38"/>
      <c r="AC248" s="38"/>
      <c r="AD248" s="38"/>
      <c r="AE248" s="38"/>
      <c r="AF248" s="38"/>
      <c r="AG248" s="38"/>
    </row>
    <row r="249" spans="1:33" x14ac:dyDescent="0.25">
      <c r="A249" s="38"/>
      <c r="B249" s="38"/>
      <c r="C249" s="38"/>
      <c r="D249" s="268"/>
      <c r="E249" s="38"/>
      <c r="F249" s="38"/>
      <c r="G249" s="38"/>
      <c r="H249" s="38"/>
      <c r="I249" s="38"/>
      <c r="J249" s="38"/>
      <c r="K249" s="38"/>
      <c r="L249" s="38"/>
      <c r="M249" s="38"/>
      <c r="N249" s="38"/>
      <c r="O249" s="205"/>
      <c r="P249" s="38"/>
      <c r="Q249" s="38"/>
      <c r="R249" s="38"/>
      <c r="S249" s="38"/>
      <c r="T249" s="38"/>
      <c r="U249" s="38"/>
      <c r="V249" s="38"/>
      <c r="W249" s="38"/>
      <c r="X249" s="38"/>
      <c r="Y249" s="38"/>
      <c r="Z249" s="38"/>
      <c r="AA249" s="38"/>
      <c r="AB249" s="38"/>
      <c r="AC249" s="38"/>
      <c r="AD249" s="38"/>
      <c r="AE249" s="38"/>
      <c r="AF249" s="38"/>
      <c r="AG249" s="38"/>
    </row>
    <row r="250" spans="1:33" x14ac:dyDescent="0.25">
      <c r="A250" s="38"/>
      <c r="B250" s="38"/>
      <c r="C250" s="38"/>
      <c r="D250" s="268"/>
      <c r="E250" s="38"/>
      <c r="F250" s="38"/>
      <c r="G250" s="38"/>
      <c r="H250" s="38"/>
      <c r="I250" s="38"/>
      <c r="J250" s="38"/>
      <c r="K250" s="38"/>
      <c r="L250" s="38"/>
      <c r="M250" s="38"/>
      <c r="N250" s="38"/>
      <c r="O250" s="205"/>
      <c r="P250" s="38"/>
      <c r="Q250" s="38"/>
      <c r="R250" s="38"/>
      <c r="S250" s="38"/>
      <c r="T250" s="38"/>
      <c r="U250" s="38"/>
      <c r="V250" s="38"/>
      <c r="W250" s="38"/>
      <c r="X250" s="38"/>
      <c r="Y250" s="38"/>
      <c r="Z250" s="38"/>
      <c r="AA250" s="38"/>
      <c r="AB250" s="38"/>
      <c r="AC250" s="38"/>
      <c r="AD250" s="38"/>
      <c r="AE250" s="38"/>
      <c r="AF250" s="38"/>
      <c r="AG250" s="38"/>
    </row>
    <row r="251" spans="1:33" x14ac:dyDescent="0.25">
      <c r="A251" s="38"/>
      <c r="B251" s="38"/>
      <c r="C251" s="38"/>
      <c r="D251" s="268"/>
      <c r="E251" s="38"/>
      <c r="F251" s="38"/>
      <c r="G251" s="38"/>
      <c r="H251" s="38"/>
      <c r="I251" s="38"/>
      <c r="J251" s="38"/>
      <c r="K251" s="38"/>
      <c r="L251" s="38"/>
      <c r="M251" s="38"/>
      <c r="N251" s="38"/>
      <c r="O251" s="205"/>
      <c r="P251" s="38"/>
      <c r="Q251" s="38"/>
      <c r="R251" s="38"/>
      <c r="S251" s="38"/>
      <c r="T251" s="38"/>
      <c r="U251" s="38"/>
      <c r="V251" s="38"/>
      <c r="W251" s="38"/>
      <c r="X251" s="38"/>
      <c r="Y251" s="38"/>
      <c r="Z251" s="38"/>
      <c r="AA251" s="38"/>
      <c r="AB251" s="38"/>
      <c r="AC251" s="38"/>
      <c r="AD251" s="38"/>
      <c r="AE251" s="38"/>
      <c r="AF251" s="38"/>
      <c r="AG251" s="38"/>
    </row>
    <row r="252" spans="1:33" x14ac:dyDescent="0.25">
      <c r="A252" s="38"/>
      <c r="B252" s="38"/>
      <c r="C252" s="38"/>
      <c r="D252" s="268"/>
      <c r="E252" s="38"/>
      <c r="F252" s="38"/>
      <c r="G252" s="38"/>
      <c r="H252" s="38"/>
      <c r="I252" s="38"/>
      <c r="J252" s="38"/>
      <c r="K252" s="38"/>
      <c r="L252" s="38"/>
      <c r="M252" s="38"/>
      <c r="N252" s="38"/>
      <c r="O252" s="205"/>
      <c r="P252" s="38"/>
      <c r="Q252" s="38"/>
      <c r="R252" s="38"/>
      <c r="S252" s="38"/>
      <c r="T252" s="38"/>
      <c r="U252" s="38"/>
      <c r="V252" s="38"/>
      <c r="W252" s="38"/>
      <c r="X252" s="38"/>
      <c r="Y252" s="38"/>
      <c r="Z252" s="38"/>
      <c r="AA252" s="38"/>
      <c r="AB252" s="38"/>
      <c r="AC252" s="38"/>
      <c r="AD252" s="38"/>
      <c r="AE252" s="38"/>
      <c r="AF252" s="38"/>
      <c r="AG252" s="38"/>
    </row>
    <row r="253" spans="1:33" x14ac:dyDescent="0.25">
      <c r="A253" s="38"/>
      <c r="B253" s="38"/>
      <c r="C253" s="38"/>
      <c r="D253" s="268"/>
      <c r="E253" s="38"/>
      <c r="F253" s="38"/>
      <c r="G253" s="38"/>
      <c r="H253" s="38"/>
      <c r="I253" s="38"/>
      <c r="J253" s="38"/>
      <c r="K253" s="38"/>
      <c r="L253" s="38"/>
      <c r="M253" s="38"/>
      <c r="N253" s="38"/>
      <c r="O253" s="205"/>
      <c r="P253" s="38"/>
      <c r="Q253" s="38"/>
      <c r="R253" s="38"/>
      <c r="S253" s="38"/>
      <c r="T253" s="38"/>
      <c r="U253" s="38"/>
      <c r="V253" s="38"/>
      <c r="W253" s="38"/>
      <c r="X253" s="38"/>
      <c r="Y253" s="38"/>
      <c r="Z253" s="38"/>
      <c r="AA253" s="38"/>
      <c r="AB253" s="38"/>
      <c r="AC253" s="38"/>
      <c r="AD253" s="38"/>
      <c r="AE253" s="38"/>
      <c r="AF253" s="38"/>
      <c r="AG253" s="38"/>
    </row>
    <row r="254" spans="1:33" x14ac:dyDescent="0.25">
      <c r="A254" s="38"/>
      <c r="B254" s="38"/>
      <c r="C254" s="38"/>
      <c r="D254" s="268"/>
      <c r="E254" s="38"/>
      <c r="F254" s="38"/>
      <c r="G254" s="38"/>
      <c r="H254" s="38"/>
      <c r="I254" s="38"/>
      <c r="J254" s="38"/>
      <c r="K254" s="38"/>
      <c r="L254" s="38"/>
      <c r="M254" s="38"/>
      <c r="N254" s="38"/>
      <c r="O254" s="205"/>
      <c r="P254" s="38"/>
      <c r="Q254" s="38"/>
      <c r="R254" s="38"/>
      <c r="S254" s="38"/>
      <c r="T254" s="38"/>
      <c r="U254" s="38"/>
      <c r="V254" s="38"/>
      <c r="W254" s="38"/>
      <c r="X254" s="38"/>
      <c r="Y254" s="38"/>
      <c r="Z254" s="38"/>
      <c r="AA254" s="38"/>
      <c r="AB254" s="38"/>
      <c r="AC254" s="38"/>
      <c r="AD254" s="38"/>
      <c r="AE254" s="38"/>
      <c r="AF254" s="38"/>
      <c r="AG254" s="38"/>
    </row>
    <row r="255" spans="1:33" x14ac:dyDescent="0.25">
      <c r="A255" s="38"/>
      <c r="B255" s="38"/>
      <c r="C255" s="38"/>
      <c r="D255" s="268"/>
      <c r="E255" s="38"/>
      <c r="F255" s="38"/>
      <c r="G255" s="38"/>
      <c r="H255" s="38"/>
      <c r="I255" s="38"/>
      <c r="J255" s="38"/>
      <c r="K255" s="38"/>
      <c r="L255" s="38"/>
      <c r="M255" s="38"/>
      <c r="N255" s="38"/>
      <c r="O255" s="205"/>
      <c r="P255" s="38"/>
      <c r="Q255" s="38"/>
      <c r="R255" s="38"/>
      <c r="S255" s="38"/>
      <c r="T255" s="38"/>
      <c r="U255" s="38"/>
      <c r="V255" s="38"/>
      <c r="W255" s="38"/>
      <c r="X255" s="38"/>
      <c r="Y255" s="38"/>
      <c r="Z255" s="38"/>
      <c r="AA255" s="38"/>
      <c r="AB255" s="38"/>
      <c r="AC255" s="38"/>
      <c r="AD255" s="38"/>
      <c r="AE255" s="38"/>
      <c r="AF255" s="38"/>
      <c r="AG255" s="38"/>
    </row>
    <row r="256" spans="1:33" x14ac:dyDescent="0.25">
      <c r="A256" s="38"/>
      <c r="B256" s="38"/>
      <c r="C256" s="38"/>
      <c r="D256" s="268"/>
      <c r="E256" s="38"/>
      <c r="F256" s="38"/>
      <c r="G256" s="38"/>
      <c r="H256" s="38"/>
      <c r="I256" s="38"/>
      <c r="J256" s="38"/>
      <c r="K256" s="38"/>
      <c r="L256" s="38"/>
      <c r="M256" s="38"/>
      <c r="N256" s="38"/>
      <c r="O256" s="205"/>
      <c r="P256" s="38"/>
      <c r="Q256" s="38"/>
      <c r="R256" s="38"/>
      <c r="S256" s="38"/>
      <c r="T256" s="38"/>
      <c r="U256" s="38"/>
      <c r="V256" s="38"/>
      <c r="W256" s="38"/>
      <c r="X256" s="38"/>
      <c r="Y256" s="38"/>
      <c r="Z256" s="38"/>
      <c r="AA256" s="38"/>
      <c r="AB256" s="38"/>
      <c r="AC256" s="38"/>
      <c r="AD256" s="38"/>
      <c r="AE256" s="38"/>
      <c r="AF256" s="38"/>
      <c r="AG256" s="38"/>
    </row>
    <row r="257" spans="1:33" x14ac:dyDescent="0.25">
      <c r="A257" s="38"/>
      <c r="B257" s="38"/>
      <c r="C257" s="38"/>
      <c r="D257" s="268"/>
      <c r="E257" s="38"/>
      <c r="F257" s="38"/>
      <c r="G257" s="38"/>
      <c r="H257" s="38"/>
      <c r="I257" s="38"/>
      <c r="J257" s="38"/>
      <c r="K257" s="38"/>
      <c r="L257" s="38"/>
      <c r="M257" s="38"/>
      <c r="N257" s="38"/>
      <c r="O257" s="205"/>
      <c r="P257" s="38"/>
      <c r="Q257" s="38"/>
      <c r="R257" s="38"/>
      <c r="S257" s="38"/>
      <c r="T257" s="38"/>
      <c r="U257" s="38"/>
      <c r="V257" s="38"/>
      <c r="W257" s="38"/>
      <c r="X257" s="38"/>
      <c r="Y257" s="38"/>
      <c r="Z257" s="38"/>
      <c r="AA257" s="38"/>
      <c r="AB257" s="38"/>
      <c r="AC257" s="38"/>
      <c r="AD257" s="38"/>
      <c r="AE257" s="38"/>
      <c r="AF257" s="38"/>
      <c r="AG257" s="38"/>
    </row>
    <row r="258" spans="1:33" x14ac:dyDescent="0.25">
      <c r="A258" s="38"/>
      <c r="B258" s="38"/>
      <c r="C258" s="38"/>
      <c r="D258" s="268"/>
      <c r="E258" s="38"/>
      <c r="F258" s="38"/>
      <c r="G258" s="38"/>
      <c r="H258" s="38"/>
      <c r="I258" s="38"/>
      <c r="J258" s="38"/>
      <c r="K258" s="38"/>
      <c r="L258" s="38"/>
      <c r="M258" s="38"/>
      <c r="N258" s="38"/>
      <c r="O258" s="205"/>
      <c r="P258" s="38"/>
      <c r="Q258" s="38"/>
      <c r="R258" s="38"/>
      <c r="S258" s="38"/>
      <c r="T258" s="38"/>
      <c r="U258" s="38"/>
      <c r="V258" s="38"/>
      <c r="W258" s="38"/>
      <c r="X258" s="38"/>
      <c r="Y258" s="38"/>
      <c r="Z258" s="38"/>
      <c r="AA258" s="38"/>
      <c r="AB258" s="38"/>
      <c r="AC258" s="38"/>
      <c r="AD258" s="38"/>
      <c r="AE258" s="38"/>
      <c r="AF258" s="38"/>
      <c r="AG258" s="38"/>
    </row>
    <row r="259" spans="1:33" x14ac:dyDescent="0.25">
      <c r="A259" s="38"/>
      <c r="B259" s="38"/>
      <c r="C259" s="38"/>
      <c r="D259" s="268"/>
      <c r="E259" s="38"/>
      <c r="F259" s="38"/>
      <c r="G259" s="38"/>
      <c r="H259" s="38"/>
      <c r="I259" s="38"/>
      <c r="J259" s="38"/>
      <c r="K259" s="38"/>
      <c r="L259" s="38"/>
      <c r="M259" s="38"/>
      <c r="N259" s="38"/>
      <c r="O259" s="205"/>
      <c r="P259" s="38"/>
      <c r="Q259" s="38"/>
      <c r="R259" s="38"/>
      <c r="S259" s="38"/>
      <c r="T259" s="38"/>
      <c r="U259" s="38"/>
      <c r="V259" s="38"/>
      <c r="W259" s="38"/>
      <c r="X259" s="38"/>
      <c r="Y259" s="38"/>
      <c r="Z259" s="38"/>
      <c r="AA259" s="38"/>
      <c r="AB259" s="38"/>
      <c r="AC259" s="38"/>
      <c r="AD259" s="38"/>
      <c r="AE259" s="38"/>
      <c r="AF259" s="38"/>
      <c r="AG259" s="38"/>
    </row>
    <row r="260" spans="1:33" x14ac:dyDescent="0.25">
      <c r="A260" s="38"/>
      <c r="B260" s="38"/>
      <c r="C260" s="38"/>
      <c r="D260" s="268"/>
      <c r="E260" s="38"/>
      <c r="F260" s="38"/>
      <c r="G260" s="38"/>
      <c r="H260" s="38"/>
      <c r="I260" s="38"/>
      <c r="J260" s="38"/>
      <c r="K260" s="38"/>
      <c r="L260" s="38"/>
      <c r="M260" s="38"/>
      <c r="N260" s="38"/>
      <c r="O260" s="205"/>
      <c r="P260" s="38"/>
      <c r="Q260" s="38"/>
      <c r="R260" s="38"/>
      <c r="S260" s="38"/>
      <c r="T260" s="38"/>
      <c r="U260" s="38"/>
      <c r="V260" s="38"/>
      <c r="W260" s="38"/>
      <c r="X260" s="38"/>
      <c r="Y260" s="38"/>
      <c r="Z260" s="38"/>
      <c r="AA260" s="38"/>
      <c r="AB260" s="38"/>
      <c r="AC260" s="38"/>
      <c r="AD260" s="38"/>
      <c r="AE260" s="38"/>
      <c r="AF260" s="38"/>
      <c r="AG260" s="38"/>
    </row>
    <row r="261" spans="1:33" x14ac:dyDescent="0.25">
      <c r="A261" s="38"/>
      <c r="B261" s="38"/>
      <c r="C261" s="38"/>
      <c r="D261" s="268"/>
      <c r="E261" s="38"/>
      <c r="F261" s="38"/>
      <c r="G261" s="38"/>
      <c r="H261" s="38"/>
      <c r="I261" s="38"/>
      <c r="J261" s="38"/>
      <c r="K261" s="38"/>
      <c r="L261" s="38"/>
      <c r="M261" s="38"/>
      <c r="N261" s="38"/>
      <c r="O261" s="205"/>
      <c r="P261" s="38"/>
      <c r="Q261" s="38"/>
      <c r="R261" s="38"/>
      <c r="S261" s="38"/>
      <c r="T261" s="38"/>
      <c r="U261" s="38"/>
      <c r="V261" s="38"/>
      <c r="W261" s="38"/>
      <c r="X261" s="38"/>
      <c r="Y261" s="38"/>
      <c r="Z261" s="38"/>
      <c r="AA261" s="38"/>
      <c r="AB261" s="38"/>
      <c r="AC261" s="38"/>
      <c r="AD261" s="38"/>
      <c r="AE261" s="38"/>
      <c r="AF261" s="38"/>
      <c r="AG261" s="38"/>
    </row>
    <row r="262" spans="1:33" x14ac:dyDescent="0.25">
      <c r="A262" s="38"/>
      <c r="B262" s="38"/>
      <c r="C262" s="38"/>
      <c r="D262" s="268"/>
      <c r="E262" s="38"/>
      <c r="F262" s="38"/>
      <c r="G262" s="38"/>
      <c r="H262" s="38"/>
      <c r="I262" s="38"/>
      <c r="J262" s="38"/>
      <c r="K262" s="38"/>
      <c r="L262" s="38"/>
      <c r="M262" s="38"/>
      <c r="N262" s="38"/>
      <c r="O262" s="205"/>
      <c r="P262" s="38"/>
      <c r="Q262" s="38"/>
      <c r="R262" s="38"/>
      <c r="S262" s="38"/>
      <c r="T262" s="38"/>
      <c r="U262" s="38"/>
      <c r="V262" s="38"/>
      <c r="W262" s="38"/>
      <c r="X262" s="38"/>
      <c r="Y262" s="38"/>
      <c r="Z262" s="38"/>
      <c r="AA262" s="38"/>
      <c r="AB262" s="38"/>
      <c r="AC262" s="38"/>
      <c r="AD262" s="38"/>
      <c r="AE262" s="38"/>
      <c r="AF262" s="38"/>
      <c r="AG262" s="38"/>
    </row>
    <row r="263" spans="1:33" x14ac:dyDescent="0.25">
      <c r="A263" s="38"/>
      <c r="B263" s="38"/>
      <c r="C263" s="38"/>
      <c r="D263" s="268"/>
      <c r="E263" s="38"/>
      <c r="F263" s="38"/>
      <c r="G263" s="38"/>
      <c r="H263" s="38"/>
      <c r="I263" s="38"/>
      <c r="J263" s="38"/>
      <c r="K263" s="38"/>
      <c r="L263" s="38"/>
      <c r="M263" s="38"/>
      <c r="N263" s="38"/>
      <c r="O263" s="205"/>
      <c r="P263" s="38"/>
      <c r="Q263" s="38"/>
      <c r="R263" s="38"/>
      <c r="S263" s="38"/>
      <c r="T263" s="38"/>
      <c r="U263" s="38"/>
      <c r="V263" s="38"/>
      <c r="W263" s="38"/>
      <c r="X263" s="38"/>
      <c r="Y263" s="38"/>
      <c r="Z263" s="38"/>
      <c r="AA263" s="38"/>
      <c r="AB263" s="38"/>
      <c r="AC263" s="38"/>
      <c r="AD263" s="38"/>
      <c r="AE263" s="38"/>
      <c r="AF263" s="38"/>
      <c r="AG263" s="38"/>
    </row>
    <row r="264" spans="1:33" x14ac:dyDescent="0.25">
      <c r="A264" s="38"/>
      <c r="B264" s="38"/>
      <c r="C264" s="38"/>
      <c r="D264" s="268"/>
      <c r="E264" s="38"/>
      <c r="F264" s="38"/>
      <c r="G264" s="38"/>
      <c r="H264" s="38"/>
      <c r="I264" s="38"/>
      <c r="J264" s="38"/>
      <c r="K264" s="38"/>
      <c r="L264" s="38"/>
      <c r="M264" s="38"/>
      <c r="N264" s="38"/>
      <c r="O264" s="205"/>
      <c r="P264" s="38"/>
      <c r="Q264" s="38"/>
      <c r="R264" s="38"/>
      <c r="S264" s="38"/>
      <c r="T264" s="38"/>
      <c r="U264" s="38"/>
      <c r="V264" s="38"/>
      <c r="W264" s="38"/>
      <c r="X264" s="38"/>
      <c r="Y264" s="38"/>
      <c r="Z264" s="38"/>
      <c r="AA264" s="38"/>
      <c r="AB264" s="38"/>
      <c r="AC264" s="38"/>
      <c r="AD264" s="38"/>
      <c r="AE264" s="38"/>
      <c r="AF264" s="38"/>
      <c r="AG264" s="38"/>
    </row>
    <row r="265" spans="1:33" x14ac:dyDescent="0.25">
      <c r="A265" s="38"/>
      <c r="B265" s="38"/>
      <c r="C265" s="38"/>
      <c r="D265" s="268"/>
      <c r="E265" s="38"/>
      <c r="F265" s="38"/>
      <c r="G265" s="38"/>
      <c r="H265" s="38"/>
      <c r="I265" s="38"/>
      <c r="J265" s="38"/>
      <c r="K265" s="38"/>
      <c r="L265" s="38"/>
      <c r="M265" s="38"/>
      <c r="N265" s="38"/>
      <c r="O265" s="205"/>
      <c r="P265" s="38"/>
      <c r="Q265" s="38"/>
      <c r="R265" s="38"/>
      <c r="S265" s="38"/>
      <c r="T265" s="38"/>
      <c r="U265" s="38"/>
      <c r="V265" s="38"/>
      <c r="W265" s="38"/>
      <c r="X265" s="38"/>
      <c r="Y265" s="38"/>
      <c r="Z265" s="38"/>
      <c r="AA265" s="38"/>
      <c r="AB265" s="38"/>
      <c r="AC265" s="38"/>
      <c r="AD265" s="38"/>
      <c r="AE265" s="38"/>
      <c r="AF265" s="38"/>
      <c r="AG265" s="38"/>
    </row>
    <row r="266" spans="1:33" x14ac:dyDescent="0.25">
      <c r="A266" s="38"/>
      <c r="B266" s="38"/>
      <c r="C266" s="38"/>
      <c r="D266" s="268"/>
      <c r="E266" s="38"/>
      <c r="F266" s="38"/>
      <c r="G266" s="38"/>
      <c r="H266" s="38"/>
      <c r="I266" s="38"/>
      <c r="J266" s="38"/>
      <c r="K266" s="38"/>
      <c r="L266" s="38"/>
      <c r="M266" s="38"/>
      <c r="N266" s="38"/>
      <c r="O266" s="205"/>
      <c r="P266" s="38"/>
      <c r="Q266" s="38"/>
      <c r="R266" s="38"/>
      <c r="S266" s="38"/>
      <c r="T266" s="38"/>
      <c r="U266" s="38"/>
      <c r="V266" s="38"/>
      <c r="W266" s="38"/>
      <c r="X266" s="38"/>
      <c r="Y266" s="38"/>
      <c r="Z266" s="38"/>
      <c r="AA266" s="38"/>
      <c r="AB266" s="38"/>
      <c r="AC266" s="38"/>
      <c r="AD266" s="38"/>
      <c r="AE266" s="38"/>
      <c r="AF266" s="38"/>
      <c r="AG266" s="38"/>
    </row>
    <row r="267" spans="1:33" x14ac:dyDescent="0.25">
      <c r="A267" s="38"/>
      <c r="B267" s="38"/>
      <c r="C267" s="38"/>
      <c r="D267" s="268"/>
      <c r="E267" s="38"/>
      <c r="F267" s="38"/>
      <c r="G267" s="38"/>
      <c r="H267" s="38"/>
      <c r="I267" s="38"/>
      <c r="J267" s="38"/>
      <c r="K267" s="38"/>
      <c r="L267" s="38"/>
      <c r="M267" s="38"/>
      <c r="N267" s="38"/>
      <c r="O267" s="205"/>
      <c r="P267" s="38"/>
      <c r="Q267" s="38"/>
      <c r="R267" s="38"/>
      <c r="S267" s="38"/>
      <c r="T267" s="38"/>
      <c r="U267" s="38"/>
      <c r="V267" s="38"/>
      <c r="W267" s="38"/>
      <c r="X267" s="38"/>
      <c r="Y267" s="38"/>
      <c r="Z267" s="38"/>
      <c r="AA267" s="38"/>
      <c r="AB267" s="38"/>
      <c r="AC267" s="38"/>
      <c r="AD267" s="38"/>
      <c r="AE267" s="38"/>
      <c r="AF267" s="38"/>
      <c r="AG267" s="38"/>
    </row>
    <row r="268" spans="1:33" x14ac:dyDescent="0.25">
      <c r="A268" s="38"/>
      <c r="B268" s="38"/>
      <c r="C268" s="38"/>
      <c r="D268" s="268"/>
      <c r="E268" s="38"/>
      <c r="F268" s="38"/>
      <c r="G268" s="38"/>
      <c r="H268" s="38"/>
      <c r="I268" s="38"/>
      <c r="J268" s="38"/>
      <c r="K268" s="38"/>
      <c r="L268" s="38"/>
      <c r="M268" s="38"/>
      <c r="N268" s="38"/>
      <c r="O268" s="205"/>
      <c r="P268" s="38"/>
      <c r="Q268" s="38"/>
      <c r="R268" s="38"/>
      <c r="S268" s="38"/>
      <c r="T268" s="38"/>
      <c r="U268" s="38"/>
      <c r="V268" s="38"/>
      <c r="W268" s="38"/>
      <c r="X268" s="38"/>
      <c r="Y268" s="38"/>
      <c r="Z268" s="38"/>
      <c r="AA268" s="38"/>
      <c r="AB268" s="38"/>
      <c r="AC268" s="38"/>
      <c r="AD268" s="38"/>
      <c r="AE268" s="38"/>
      <c r="AF268" s="38"/>
      <c r="AG268" s="38"/>
    </row>
    <row r="269" spans="1:33" x14ac:dyDescent="0.25">
      <c r="A269" s="38"/>
      <c r="B269" s="38"/>
      <c r="C269" s="38"/>
      <c r="D269" s="268"/>
      <c r="E269" s="38"/>
      <c r="F269" s="38"/>
      <c r="G269" s="38"/>
      <c r="H269" s="38"/>
      <c r="I269" s="38"/>
      <c r="J269" s="38"/>
      <c r="K269" s="38"/>
      <c r="L269" s="38"/>
      <c r="M269" s="38"/>
      <c r="N269" s="38"/>
      <c r="O269" s="205"/>
      <c r="P269" s="38"/>
      <c r="Q269" s="38"/>
      <c r="R269" s="38"/>
      <c r="S269" s="38"/>
      <c r="T269" s="38"/>
      <c r="U269" s="38"/>
      <c r="V269" s="38"/>
      <c r="W269" s="38"/>
      <c r="X269" s="38"/>
      <c r="Y269" s="38"/>
      <c r="Z269" s="38"/>
      <c r="AA269" s="38"/>
      <c r="AB269" s="38"/>
      <c r="AC269" s="38"/>
      <c r="AD269" s="38"/>
      <c r="AE269" s="38"/>
      <c r="AF269" s="38"/>
      <c r="AG269" s="38"/>
    </row>
    <row r="270" spans="1:33" x14ac:dyDescent="0.25">
      <c r="A270" s="38"/>
      <c r="B270" s="38"/>
      <c r="C270" s="38"/>
      <c r="D270" s="268"/>
      <c r="E270" s="38"/>
      <c r="F270" s="38"/>
      <c r="G270" s="38"/>
      <c r="H270" s="38"/>
      <c r="I270" s="38"/>
      <c r="J270" s="38"/>
      <c r="K270" s="38"/>
      <c r="L270" s="38"/>
      <c r="M270" s="38"/>
      <c r="N270" s="38"/>
      <c r="O270" s="205"/>
      <c r="P270" s="38"/>
      <c r="Q270" s="38"/>
      <c r="R270" s="38"/>
      <c r="S270" s="38"/>
      <c r="T270" s="38"/>
      <c r="U270" s="38"/>
      <c r="V270" s="38"/>
      <c r="W270" s="38"/>
      <c r="X270" s="38"/>
      <c r="Y270" s="38"/>
      <c r="Z270" s="38"/>
      <c r="AA270" s="38"/>
      <c r="AB270" s="38"/>
      <c r="AC270" s="38"/>
      <c r="AD270" s="38"/>
      <c r="AE270" s="38"/>
      <c r="AF270" s="38"/>
      <c r="AG270" s="38"/>
    </row>
    <row r="271" spans="1:33" x14ac:dyDescent="0.25">
      <c r="A271" s="38"/>
      <c r="B271" s="38"/>
      <c r="C271" s="38"/>
      <c r="D271" s="268"/>
      <c r="E271" s="38"/>
      <c r="F271" s="38"/>
      <c r="G271" s="38"/>
      <c r="H271" s="38"/>
      <c r="I271" s="38"/>
      <c r="J271" s="38"/>
      <c r="K271" s="38"/>
      <c r="L271" s="38"/>
      <c r="M271" s="38"/>
      <c r="N271" s="38"/>
      <c r="O271" s="205"/>
      <c r="P271" s="38"/>
      <c r="Q271" s="38"/>
      <c r="R271" s="38"/>
      <c r="S271" s="38"/>
      <c r="T271" s="38"/>
      <c r="U271" s="38"/>
      <c r="V271" s="38"/>
      <c r="W271" s="38"/>
      <c r="X271" s="38"/>
      <c r="Y271" s="38"/>
      <c r="Z271" s="38"/>
      <c r="AA271" s="38"/>
      <c r="AB271" s="38"/>
      <c r="AC271" s="38"/>
      <c r="AD271" s="38"/>
      <c r="AE271" s="38"/>
      <c r="AF271" s="38"/>
      <c r="AG271" s="38"/>
    </row>
    <row r="272" spans="1:33" x14ac:dyDescent="0.25">
      <c r="A272" s="38"/>
      <c r="B272" s="38"/>
      <c r="C272" s="38"/>
      <c r="D272" s="268"/>
      <c r="E272" s="38"/>
      <c r="F272" s="38"/>
      <c r="G272" s="38"/>
      <c r="H272" s="38"/>
      <c r="I272" s="38"/>
      <c r="J272" s="38"/>
      <c r="K272" s="38"/>
      <c r="L272" s="38"/>
      <c r="M272" s="38"/>
      <c r="N272" s="38"/>
      <c r="O272" s="205"/>
      <c r="P272" s="38"/>
      <c r="Q272" s="38"/>
      <c r="R272" s="38"/>
      <c r="S272" s="38"/>
      <c r="T272" s="38"/>
      <c r="U272" s="38"/>
      <c r="V272" s="38"/>
      <c r="W272" s="38"/>
      <c r="X272" s="38"/>
      <c r="Y272" s="38"/>
      <c r="Z272" s="38"/>
      <c r="AA272" s="38"/>
      <c r="AB272" s="38"/>
      <c r="AC272" s="38"/>
      <c r="AD272" s="38"/>
      <c r="AE272" s="38"/>
      <c r="AF272" s="38"/>
      <c r="AG272" s="38"/>
    </row>
    <row r="273" spans="1:33" x14ac:dyDescent="0.25">
      <c r="A273" s="38"/>
      <c r="B273" s="38"/>
      <c r="C273" s="38"/>
      <c r="D273" s="268"/>
      <c r="E273" s="38"/>
      <c r="F273" s="38"/>
      <c r="G273" s="38"/>
      <c r="H273" s="38"/>
      <c r="I273" s="38"/>
      <c r="J273" s="38"/>
      <c r="K273" s="38"/>
      <c r="L273" s="38"/>
      <c r="M273" s="38"/>
      <c r="N273" s="38"/>
      <c r="O273" s="205"/>
      <c r="P273" s="38"/>
      <c r="Q273" s="38"/>
      <c r="R273" s="38"/>
      <c r="S273" s="38"/>
      <c r="T273" s="38"/>
      <c r="U273" s="38"/>
      <c r="V273" s="38"/>
      <c r="W273" s="38"/>
      <c r="X273" s="38"/>
      <c r="Y273" s="38"/>
      <c r="Z273" s="38"/>
      <c r="AA273" s="38"/>
      <c r="AB273" s="38"/>
      <c r="AC273" s="38"/>
      <c r="AD273" s="38"/>
      <c r="AE273" s="38"/>
      <c r="AF273" s="38"/>
      <c r="AG273" s="38"/>
    </row>
    <row r="274" spans="1:33" x14ac:dyDescent="0.25">
      <c r="A274" s="38"/>
      <c r="B274" s="38"/>
      <c r="C274" s="38"/>
      <c r="D274" s="268"/>
      <c r="E274" s="38"/>
      <c r="F274" s="38"/>
      <c r="G274" s="38"/>
      <c r="H274" s="38"/>
      <c r="I274" s="38"/>
      <c r="J274" s="38"/>
      <c r="K274" s="38"/>
      <c r="L274" s="38"/>
      <c r="M274" s="38"/>
      <c r="N274" s="38"/>
      <c r="O274" s="205"/>
      <c r="P274" s="38"/>
      <c r="Q274" s="38"/>
      <c r="R274" s="38"/>
      <c r="S274" s="38"/>
      <c r="T274" s="38"/>
      <c r="U274" s="38"/>
      <c r="V274" s="38"/>
      <c r="W274" s="38"/>
      <c r="X274" s="38"/>
      <c r="Y274" s="38"/>
      <c r="Z274" s="38"/>
      <c r="AA274" s="38"/>
      <c r="AB274" s="38"/>
      <c r="AC274" s="38"/>
      <c r="AD274" s="38"/>
      <c r="AE274" s="38"/>
      <c r="AF274" s="38"/>
      <c r="AG274" s="38"/>
    </row>
    <row r="275" spans="1:33" x14ac:dyDescent="0.25">
      <c r="A275" s="38"/>
      <c r="B275" s="38"/>
      <c r="C275" s="38"/>
      <c r="D275" s="268"/>
      <c r="E275" s="38"/>
      <c r="F275" s="38"/>
      <c r="G275" s="38"/>
      <c r="H275" s="38"/>
      <c r="I275" s="38"/>
      <c r="J275" s="38"/>
      <c r="K275" s="38"/>
      <c r="L275" s="38"/>
      <c r="M275" s="38"/>
      <c r="N275" s="38"/>
      <c r="O275" s="205"/>
      <c r="P275" s="38"/>
      <c r="Q275" s="38"/>
      <c r="R275" s="38"/>
      <c r="S275" s="38"/>
      <c r="T275" s="38"/>
      <c r="U275" s="38"/>
      <c r="V275" s="38"/>
      <c r="W275" s="38"/>
      <c r="X275" s="38"/>
      <c r="Y275" s="38"/>
      <c r="Z275" s="38"/>
      <c r="AA275" s="38"/>
      <c r="AB275" s="38"/>
      <c r="AC275" s="38"/>
      <c r="AD275" s="38"/>
      <c r="AE275" s="38"/>
      <c r="AF275" s="38"/>
      <c r="AG275" s="38"/>
    </row>
    <row r="276" spans="1:33" x14ac:dyDescent="0.25">
      <c r="A276" s="38"/>
      <c r="B276" s="38"/>
      <c r="C276" s="38"/>
      <c r="D276" s="268"/>
      <c r="E276" s="38"/>
      <c r="F276" s="38"/>
      <c r="G276" s="38"/>
      <c r="H276" s="38"/>
      <c r="I276" s="38"/>
      <c r="J276" s="38"/>
      <c r="K276" s="38"/>
      <c r="L276" s="38"/>
      <c r="M276" s="38"/>
      <c r="N276" s="38"/>
      <c r="O276" s="205"/>
      <c r="P276" s="38"/>
      <c r="Q276" s="38"/>
      <c r="R276" s="38"/>
      <c r="S276" s="38"/>
      <c r="T276" s="38"/>
      <c r="U276" s="38"/>
      <c r="V276" s="38"/>
      <c r="W276" s="38"/>
      <c r="X276" s="38"/>
      <c r="Y276" s="38"/>
      <c r="Z276" s="38"/>
      <c r="AA276" s="38"/>
      <c r="AB276" s="38"/>
      <c r="AC276" s="38"/>
      <c r="AD276" s="38"/>
      <c r="AE276" s="38"/>
      <c r="AF276" s="38"/>
      <c r="AG276" s="38"/>
    </row>
    <row r="277" spans="1:33" x14ac:dyDescent="0.25">
      <c r="A277" s="38"/>
      <c r="B277" s="38"/>
      <c r="C277" s="38"/>
      <c r="D277" s="268"/>
      <c r="E277" s="38"/>
      <c r="F277" s="38"/>
      <c r="G277" s="38"/>
      <c r="H277" s="38"/>
      <c r="I277" s="38"/>
      <c r="J277" s="38"/>
      <c r="K277" s="38"/>
      <c r="L277" s="38"/>
      <c r="M277" s="38"/>
      <c r="N277" s="38"/>
      <c r="O277" s="205"/>
      <c r="P277" s="38"/>
      <c r="Q277" s="38"/>
      <c r="R277" s="38"/>
      <c r="S277" s="38"/>
      <c r="T277" s="38"/>
      <c r="U277" s="38"/>
      <c r="V277" s="38"/>
      <c r="W277" s="38"/>
      <c r="X277" s="38"/>
      <c r="Y277" s="38"/>
      <c r="Z277" s="38"/>
      <c r="AA277" s="38"/>
      <c r="AB277" s="38"/>
      <c r="AC277" s="38"/>
      <c r="AD277" s="38"/>
      <c r="AE277" s="38"/>
      <c r="AF277" s="38"/>
      <c r="AG277" s="38"/>
    </row>
    <row r="278" spans="1:33" x14ac:dyDescent="0.25">
      <c r="A278" s="38"/>
      <c r="B278" s="38"/>
      <c r="C278" s="38"/>
      <c r="D278" s="268"/>
      <c r="E278" s="38"/>
      <c r="F278" s="38"/>
      <c r="G278" s="38"/>
      <c r="H278" s="38"/>
      <c r="I278" s="38"/>
      <c r="J278" s="38"/>
      <c r="K278" s="38"/>
      <c r="L278" s="38"/>
      <c r="M278" s="38"/>
      <c r="N278" s="38"/>
      <c r="O278" s="205"/>
      <c r="P278" s="38"/>
      <c r="Q278" s="38"/>
      <c r="R278" s="38"/>
      <c r="S278" s="38"/>
      <c r="T278" s="38"/>
      <c r="U278" s="38"/>
      <c r="V278" s="38"/>
      <c r="W278" s="38"/>
      <c r="X278" s="38"/>
      <c r="Y278" s="38"/>
      <c r="Z278" s="38"/>
      <c r="AA278" s="38"/>
      <c r="AB278" s="38"/>
      <c r="AC278" s="38"/>
      <c r="AD278" s="38"/>
      <c r="AE278" s="38"/>
      <c r="AF278" s="38"/>
      <c r="AG278" s="38"/>
    </row>
    <row r="279" spans="1:33" x14ac:dyDescent="0.25">
      <c r="A279" s="38"/>
      <c r="B279" s="38"/>
      <c r="C279" s="38"/>
      <c r="D279" s="268"/>
      <c r="E279" s="38"/>
      <c r="F279" s="38"/>
      <c r="G279" s="38"/>
      <c r="H279" s="38"/>
      <c r="I279" s="38"/>
      <c r="J279" s="38"/>
      <c r="K279" s="38"/>
      <c r="L279" s="38"/>
      <c r="M279" s="38"/>
      <c r="N279" s="38"/>
      <c r="O279" s="205"/>
      <c r="P279" s="38"/>
      <c r="Q279" s="38"/>
      <c r="R279" s="38"/>
      <c r="S279" s="38"/>
      <c r="T279" s="38"/>
      <c r="U279" s="38"/>
      <c r="V279" s="38"/>
      <c r="W279" s="38"/>
      <c r="X279" s="38"/>
      <c r="Y279" s="38"/>
      <c r="Z279" s="38"/>
      <c r="AA279" s="38"/>
      <c r="AB279" s="38"/>
      <c r="AC279" s="38"/>
      <c r="AD279" s="38"/>
      <c r="AE279" s="38"/>
      <c r="AF279" s="38"/>
      <c r="AG279" s="38"/>
    </row>
    <row r="280" spans="1:33" x14ac:dyDescent="0.25">
      <c r="A280" s="38"/>
      <c r="B280" s="38"/>
      <c r="C280" s="38"/>
      <c r="D280" s="268"/>
      <c r="E280" s="38"/>
      <c r="F280" s="38"/>
      <c r="G280" s="38"/>
      <c r="H280" s="38"/>
      <c r="I280" s="38"/>
      <c r="J280" s="38"/>
      <c r="K280" s="38"/>
      <c r="L280" s="38"/>
      <c r="M280" s="38"/>
      <c r="N280" s="38"/>
      <c r="O280" s="205"/>
      <c r="P280" s="38"/>
      <c r="Q280" s="38"/>
      <c r="R280" s="38"/>
      <c r="S280" s="38"/>
      <c r="T280" s="38"/>
      <c r="U280" s="38"/>
      <c r="V280" s="38"/>
      <c r="W280" s="38"/>
      <c r="X280" s="38"/>
      <c r="Y280" s="38"/>
      <c r="Z280" s="38"/>
      <c r="AA280" s="38"/>
      <c r="AB280" s="38"/>
      <c r="AC280" s="38"/>
      <c r="AD280" s="38"/>
      <c r="AE280" s="38"/>
      <c r="AF280" s="38"/>
      <c r="AG280" s="38"/>
    </row>
    <row r="281" spans="1:33" x14ac:dyDescent="0.25">
      <c r="A281" s="38"/>
      <c r="B281" s="38"/>
      <c r="C281" s="38"/>
      <c r="D281" s="268"/>
      <c r="E281" s="38"/>
      <c r="F281" s="38"/>
      <c r="G281" s="38"/>
      <c r="H281" s="38"/>
      <c r="I281" s="38"/>
      <c r="J281" s="38"/>
      <c r="K281" s="38"/>
      <c r="L281" s="38"/>
      <c r="M281" s="38"/>
      <c r="N281" s="38"/>
      <c r="O281" s="205"/>
      <c r="P281" s="38"/>
      <c r="Q281" s="38"/>
      <c r="R281" s="38"/>
      <c r="S281" s="38"/>
      <c r="T281" s="38"/>
      <c r="U281" s="38"/>
      <c r="V281" s="38"/>
      <c r="W281" s="38"/>
      <c r="X281" s="38"/>
      <c r="Y281" s="38"/>
      <c r="Z281" s="38"/>
      <c r="AA281" s="38"/>
      <c r="AB281" s="38"/>
      <c r="AC281" s="38"/>
      <c r="AD281" s="38"/>
      <c r="AE281" s="38"/>
      <c r="AF281" s="38"/>
      <c r="AG281" s="38"/>
    </row>
    <row r="282" spans="1:33" x14ac:dyDescent="0.25">
      <c r="A282" s="38"/>
      <c r="B282" s="38"/>
      <c r="C282" s="38"/>
      <c r="D282" s="268"/>
      <c r="E282" s="38"/>
      <c r="F282" s="38"/>
      <c r="G282" s="38"/>
      <c r="H282" s="38"/>
      <c r="I282" s="38"/>
      <c r="J282" s="38"/>
      <c r="K282" s="38"/>
      <c r="L282" s="38"/>
      <c r="M282" s="38"/>
      <c r="N282" s="38"/>
      <c r="O282" s="205"/>
      <c r="P282" s="38"/>
      <c r="Q282" s="38"/>
      <c r="R282" s="38"/>
      <c r="S282" s="38"/>
      <c r="T282" s="38"/>
      <c r="U282" s="38"/>
      <c r="V282" s="38"/>
      <c r="W282" s="38"/>
      <c r="X282" s="38"/>
      <c r="Y282" s="38"/>
      <c r="Z282" s="38"/>
      <c r="AA282" s="38"/>
      <c r="AB282" s="38"/>
      <c r="AC282" s="38"/>
      <c r="AD282" s="38"/>
      <c r="AE282" s="38"/>
      <c r="AF282" s="38"/>
      <c r="AG282" s="38"/>
    </row>
    <row r="283" spans="1:33" x14ac:dyDescent="0.25">
      <c r="A283" s="38"/>
      <c r="B283" s="38"/>
      <c r="C283" s="38"/>
      <c r="D283" s="268"/>
      <c r="E283" s="38"/>
      <c r="F283" s="38"/>
      <c r="G283" s="38"/>
      <c r="H283" s="38"/>
      <c r="I283" s="38"/>
      <c r="J283" s="38"/>
      <c r="K283" s="38"/>
      <c r="L283" s="38"/>
      <c r="M283" s="38"/>
      <c r="N283" s="38"/>
      <c r="O283" s="205"/>
      <c r="P283" s="38"/>
      <c r="Q283" s="38"/>
      <c r="R283" s="38"/>
      <c r="S283" s="38"/>
      <c r="T283" s="38"/>
      <c r="U283" s="38"/>
      <c r="V283" s="38"/>
      <c r="W283" s="38"/>
      <c r="X283" s="38"/>
      <c r="Y283" s="38"/>
      <c r="Z283" s="38"/>
      <c r="AA283" s="38"/>
      <c r="AB283" s="38"/>
      <c r="AC283" s="38"/>
      <c r="AD283" s="38"/>
      <c r="AE283" s="38"/>
      <c r="AF283" s="38"/>
      <c r="AG283" s="38"/>
    </row>
    <row r="284" spans="1:33" x14ac:dyDescent="0.25">
      <c r="A284" s="38"/>
      <c r="B284" s="38"/>
      <c r="C284" s="38"/>
      <c r="D284" s="268"/>
      <c r="E284" s="38"/>
      <c r="F284" s="38"/>
      <c r="G284" s="38"/>
      <c r="H284" s="38"/>
      <c r="I284" s="38"/>
      <c r="J284" s="38"/>
      <c r="K284" s="38"/>
      <c r="L284" s="38"/>
      <c r="M284" s="38"/>
      <c r="N284" s="38"/>
      <c r="O284" s="205"/>
      <c r="P284" s="38"/>
      <c r="Q284" s="38"/>
      <c r="R284" s="38"/>
      <c r="S284" s="38"/>
      <c r="T284" s="38"/>
      <c r="U284" s="38"/>
      <c r="V284" s="38"/>
      <c r="W284" s="38"/>
      <c r="X284" s="38"/>
      <c r="Y284" s="38"/>
      <c r="Z284" s="38"/>
      <c r="AA284" s="38"/>
      <c r="AB284" s="38"/>
      <c r="AC284" s="38"/>
      <c r="AD284" s="38"/>
      <c r="AE284" s="38"/>
      <c r="AF284" s="38"/>
      <c r="AG284" s="38"/>
    </row>
    <row r="285" spans="1:33" x14ac:dyDescent="0.25">
      <c r="A285" s="38"/>
      <c r="B285" s="38"/>
      <c r="C285" s="38"/>
      <c r="D285" s="268"/>
      <c r="E285" s="38"/>
      <c r="F285" s="38"/>
      <c r="G285" s="38"/>
      <c r="H285" s="38"/>
      <c r="I285" s="38"/>
      <c r="J285" s="38"/>
      <c r="K285" s="38"/>
      <c r="L285" s="38"/>
      <c r="M285" s="38"/>
      <c r="N285" s="38"/>
      <c r="O285" s="205"/>
      <c r="P285" s="38"/>
      <c r="Q285" s="38"/>
      <c r="R285" s="38"/>
      <c r="S285" s="38"/>
      <c r="T285" s="38"/>
      <c r="U285" s="38"/>
      <c r="V285" s="38"/>
      <c r="W285" s="38"/>
      <c r="X285" s="38"/>
      <c r="Y285" s="38"/>
      <c r="Z285" s="38"/>
      <c r="AA285" s="38"/>
      <c r="AB285" s="38"/>
      <c r="AC285" s="38"/>
      <c r="AD285" s="38"/>
      <c r="AE285" s="38"/>
      <c r="AF285" s="38"/>
      <c r="AG285" s="38"/>
    </row>
    <row r="286" spans="1:33" x14ac:dyDescent="0.25">
      <c r="A286" s="38"/>
      <c r="B286" s="38"/>
      <c r="C286" s="38"/>
      <c r="D286" s="268"/>
      <c r="E286" s="38"/>
      <c r="F286" s="38"/>
      <c r="G286" s="38"/>
      <c r="H286" s="38"/>
      <c r="I286" s="38"/>
      <c r="J286" s="38"/>
      <c r="K286" s="38"/>
      <c r="L286" s="38"/>
      <c r="M286" s="38"/>
      <c r="N286" s="38"/>
      <c r="O286" s="205"/>
      <c r="P286" s="38"/>
      <c r="Q286" s="38"/>
      <c r="R286" s="38"/>
      <c r="S286" s="38"/>
      <c r="T286" s="38"/>
      <c r="U286" s="38"/>
      <c r="V286" s="38"/>
      <c r="W286" s="38"/>
      <c r="X286" s="38"/>
      <c r="Y286" s="38"/>
      <c r="Z286" s="38"/>
      <c r="AA286" s="38"/>
      <c r="AB286" s="38"/>
      <c r="AC286" s="38"/>
      <c r="AD286" s="38"/>
      <c r="AE286" s="38"/>
      <c r="AF286" s="38"/>
      <c r="AG286" s="38"/>
    </row>
    <row r="287" spans="1:33" x14ac:dyDescent="0.25">
      <c r="A287" s="38"/>
      <c r="B287" s="38"/>
      <c r="C287" s="38"/>
      <c r="D287" s="268"/>
      <c r="E287" s="38"/>
      <c r="F287" s="38"/>
      <c r="G287" s="38"/>
      <c r="H287" s="38"/>
      <c r="I287" s="38"/>
      <c r="J287" s="38"/>
      <c r="K287" s="38"/>
      <c r="L287" s="38"/>
      <c r="M287" s="38"/>
      <c r="N287" s="38"/>
      <c r="O287" s="205"/>
      <c r="P287" s="38"/>
      <c r="Q287" s="38"/>
      <c r="R287" s="38"/>
      <c r="S287" s="38"/>
      <c r="T287" s="38"/>
      <c r="U287" s="38"/>
      <c r="V287" s="38"/>
      <c r="W287" s="38"/>
      <c r="X287" s="38"/>
      <c r="Y287" s="38"/>
      <c r="Z287" s="38"/>
      <c r="AA287" s="38"/>
      <c r="AB287" s="38"/>
      <c r="AC287" s="38"/>
      <c r="AD287" s="38"/>
      <c r="AE287" s="38"/>
      <c r="AF287" s="38"/>
      <c r="AG287" s="38"/>
    </row>
    <row r="288" spans="1:33" x14ac:dyDescent="0.25">
      <c r="A288" s="38"/>
      <c r="B288" s="38"/>
      <c r="C288" s="38"/>
      <c r="D288" s="268"/>
      <c r="E288" s="38"/>
      <c r="F288" s="38"/>
      <c r="G288" s="38"/>
      <c r="H288" s="38"/>
      <c r="I288" s="38"/>
      <c r="J288" s="38"/>
      <c r="K288" s="38"/>
      <c r="L288" s="38"/>
      <c r="M288" s="38"/>
      <c r="N288" s="38"/>
      <c r="O288" s="205"/>
      <c r="P288" s="38"/>
      <c r="Q288" s="38"/>
      <c r="R288" s="38"/>
      <c r="S288" s="38"/>
      <c r="T288" s="38"/>
      <c r="U288" s="38"/>
      <c r="V288" s="38"/>
      <c r="W288" s="38"/>
      <c r="X288" s="38"/>
      <c r="Y288" s="38"/>
      <c r="Z288" s="38"/>
      <c r="AA288" s="38"/>
      <c r="AB288" s="38"/>
      <c r="AC288" s="38"/>
      <c r="AD288" s="38"/>
      <c r="AE288" s="38"/>
      <c r="AF288" s="38"/>
      <c r="AG288" s="38"/>
    </row>
    <row r="289" spans="1:33" x14ac:dyDescent="0.25">
      <c r="A289" s="38"/>
      <c r="B289" s="38"/>
      <c r="C289" s="38"/>
      <c r="D289" s="268"/>
      <c r="E289" s="38"/>
      <c r="F289" s="38"/>
      <c r="G289" s="38"/>
      <c r="H289" s="38"/>
      <c r="I289" s="38"/>
      <c r="J289" s="38"/>
      <c r="K289" s="38"/>
      <c r="L289" s="38"/>
      <c r="M289" s="38"/>
      <c r="N289" s="38"/>
      <c r="O289" s="205"/>
      <c r="P289" s="38"/>
      <c r="Q289" s="38"/>
      <c r="R289" s="38"/>
      <c r="S289" s="38"/>
      <c r="T289" s="38"/>
      <c r="U289" s="38"/>
      <c r="V289" s="38"/>
      <c r="W289" s="38"/>
      <c r="X289" s="38"/>
      <c r="Y289" s="38"/>
      <c r="Z289" s="38"/>
      <c r="AA289" s="38"/>
      <c r="AB289" s="38"/>
      <c r="AC289" s="38"/>
      <c r="AD289" s="38"/>
      <c r="AE289" s="38"/>
      <c r="AF289" s="38"/>
      <c r="AG289" s="38"/>
    </row>
    <row r="290" spans="1:33" x14ac:dyDescent="0.25">
      <c r="A290" s="38"/>
      <c r="B290" s="38"/>
      <c r="C290" s="38"/>
      <c r="D290" s="268"/>
      <c r="E290" s="38"/>
      <c r="F290" s="38"/>
      <c r="G290" s="38"/>
      <c r="H290" s="38"/>
      <c r="I290" s="38"/>
      <c r="J290" s="38"/>
      <c r="K290" s="38"/>
      <c r="L290" s="38"/>
      <c r="M290" s="38"/>
      <c r="N290" s="38"/>
      <c r="O290" s="205"/>
      <c r="P290" s="38"/>
      <c r="Q290" s="38"/>
      <c r="R290" s="38"/>
      <c r="S290" s="38"/>
      <c r="T290" s="38"/>
      <c r="U290" s="38"/>
      <c r="V290" s="38"/>
      <c r="W290" s="38"/>
      <c r="X290" s="38"/>
      <c r="Y290" s="38"/>
      <c r="Z290" s="38"/>
      <c r="AA290" s="38"/>
      <c r="AB290" s="38"/>
      <c r="AC290" s="38"/>
      <c r="AD290" s="38"/>
      <c r="AE290" s="38"/>
      <c r="AF290" s="38"/>
      <c r="AG290" s="38"/>
    </row>
    <row r="291" spans="1:33" x14ac:dyDescent="0.25">
      <c r="A291" s="38"/>
      <c r="B291" s="38"/>
      <c r="C291" s="38"/>
      <c r="D291" s="268"/>
      <c r="E291" s="38"/>
      <c r="F291" s="38"/>
      <c r="G291" s="38"/>
      <c r="H291" s="38"/>
      <c r="I291" s="38"/>
      <c r="J291" s="38"/>
      <c r="K291" s="38"/>
      <c r="L291" s="38"/>
      <c r="M291" s="38"/>
      <c r="N291" s="38"/>
      <c r="O291" s="205"/>
      <c r="P291" s="38"/>
      <c r="Q291" s="38"/>
      <c r="R291" s="38"/>
      <c r="S291" s="38"/>
      <c r="T291" s="38"/>
      <c r="U291" s="38"/>
      <c r="V291" s="38"/>
      <c r="W291" s="38"/>
      <c r="X291" s="38"/>
      <c r="Y291" s="38"/>
      <c r="Z291" s="38"/>
      <c r="AA291" s="38"/>
      <c r="AB291" s="38"/>
      <c r="AC291" s="38"/>
      <c r="AD291" s="38"/>
      <c r="AE291" s="38"/>
      <c r="AF291" s="38"/>
      <c r="AG291" s="38"/>
    </row>
    <row r="292" spans="1:33" x14ac:dyDescent="0.25">
      <c r="A292" s="38"/>
      <c r="B292" s="38"/>
      <c r="C292" s="38"/>
      <c r="D292" s="268"/>
      <c r="E292" s="38"/>
      <c r="F292" s="38"/>
      <c r="G292" s="38"/>
      <c r="H292" s="38"/>
      <c r="I292" s="38"/>
      <c r="J292" s="38"/>
      <c r="K292" s="38"/>
      <c r="L292" s="38"/>
      <c r="M292" s="38"/>
      <c r="N292" s="38"/>
      <c r="O292" s="205"/>
      <c r="P292" s="38"/>
      <c r="Q292" s="38"/>
      <c r="R292" s="38"/>
      <c r="S292" s="38"/>
      <c r="T292" s="38"/>
      <c r="U292" s="38"/>
      <c r="V292" s="38"/>
      <c r="W292" s="38"/>
      <c r="X292" s="38"/>
      <c r="Y292" s="38"/>
      <c r="Z292" s="38"/>
      <c r="AA292" s="38"/>
      <c r="AB292" s="38"/>
      <c r="AC292" s="38"/>
      <c r="AD292" s="38"/>
      <c r="AE292" s="38"/>
      <c r="AF292" s="38"/>
      <c r="AG292" s="38"/>
    </row>
    <row r="293" spans="1:33" x14ac:dyDescent="0.25">
      <c r="A293" s="38"/>
      <c r="B293" s="38"/>
      <c r="C293" s="38"/>
      <c r="D293" s="268"/>
      <c r="E293" s="38"/>
      <c r="F293" s="38"/>
      <c r="G293" s="38"/>
      <c r="H293" s="38"/>
      <c r="I293" s="38"/>
      <c r="J293" s="38"/>
      <c r="K293" s="38"/>
      <c r="L293" s="38"/>
      <c r="M293" s="38"/>
      <c r="N293" s="38"/>
      <c r="O293" s="205"/>
      <c r="P293" s="38"/>
      <c r="Q293" s="38"/>
      <c r="R293" s="38"/>
      <c r="S293" s="38"/>
      <c r="T293" s="38"/>
      <c r="U293" s="38"/>
      <c r="V293" s="38"/>
      <c r="W293" s="38"/>
      <c r="X293" s="38"/>
      <c r="Y293" s="38"/>
      <c r="Z293" s="38"/>
      <c r="AA293" s="38"/>
      <c r="AB293" s="38"/>
      <c r="AC293" s="38"/>
      <c r="AD293" s="38"/>
      <c r="AE293" s="38"/>
      <c r="AF293" s="38"/>
      <c r="AG293" s="38"/>
    </row>
    <row r="294" spans="1:33" x14ac:dyDescent="0.25">
      <c r="A294" s="38"/>
      <c r="B294" s="38"/>
      <c r="C294" s="38"/>
      <c r="D294" s="268"/>
      <c r="E294" s="38"/>
      <c r="F294" s="38"/>
      <c r="G294" s="38"/>
      <c r="H294" s="38"/>
      <c r="I294" s="38"/>
      <c r="J294" s="38"/>
      <c r="K294" s="38"/>
      <c r="L294" s="38"/>
      <c r="M294" s="38"/>
      <c r="N294" s="38"/>
      <c r="O294" s="205"/>
      <c r="P294" s="38"/>
      <c r="Q294" s="38"/>
      <c r="R294" s="38"/>
      <c r="S294" s="38"/>
      <c r="T294" s="38"/>
      <c r="U294" s="38"/>
      <c r="V294" s="38"/>
      <c r="W294" s="38"/>
      <c r="X294" s="38"/>
      <c r="Y294" s="38"/>
      <c r="Z294" s="38"/>
      <c r="AA294" s="38"/>
      <c r="AB294" s="38"/>
      <c r="AC294" s="38"/>
      <c r="AD294" s="38"/>
      <c r="AE294" s="38"/>
      <c r="AF294" s="38"/>
      <c r="AG294" s="38"/>
    </row>
    <row r="295" spans="1:33" x14ac:dyDescent="0.25">
      <c r="A295" s="38"/>
      <c r="B295" s="38"/>
      <c r="C295" s="38"/>
      <c r="D295" s="268"/>
      <c r="E295" s="38"/>
      <c r="F295" s="38"/>
      <c r="G295" s="38"/>
      <c r="H295" s="38"/>
      <c r="I295" s="38"/>
      <c r="J295" s="38"/>
      <c r="K295" s="38"/>
      <c r="L295" s="38"/>
      <c r="M295" s="38"/>
      <c r="N295" s="38"/>
      <c r="O295" s="205"/>
      <c r="P295" s="38"/>
      <c r="Q295" s="38"/>
      <c r="R295" s="38"/>
      <c r="S295" s="38"/>
      <c r="T295" s="38"/>
      <c r="U295" s="38"/>
      <c r="V295" s="38"/>
      <c r="W295" s="38"/>
      <c r="X295" s="38"/>
      <c r="Y295" s="38"/>
      <c r="Z295" s="38"/>
      <c r="AA295" s="38"/>
      <c r="AB295" s="38"/>
      <c r="AC295" s="38"/>
      <c r="AD295" s="38"/>
      <c r="AE295" s="38"/>
      <c r="AF295" s="38"/>
      <c r="AG295" s="38"/>
    </row>
    <row r="296" spans="1:33" x14ac:dyDescent="0.25">
      <c r="A296" s="38"/>
      <c r="B296" s="38"/>
      <c r="C296" s="38"/>
      <c r="D296" s="268"/>
      <c r="E296" s="38"/>
      <c r="F296" s="38"/>
      <c r="G296" s="38"/>
      <c r="H296" s="38"/>
      <c r="I296" s="38"/>
      <c r="J296" s="38"/>
      <c r="K296" s="38"/>
      <c r="L296" s="38"/>
      <c r="M296" s="38"/>
      <c r="N296" s="38"/>
      <c r="O296" s="205"/>
      <c r="P296" s="38"/>
      <c r="Q296" s="38"/>
      <c r="R296" s="38"/>
      <c r="S296" s="38"/>
      <c r="T296" s="38"/>
      <c r="U296" s="38"/>
      <c r="V296" s="38"/>
      <c r="W296" s="38"/>
      <c r="X296" s="38"/>
      <c r="Y296" s="38"/>
      <c r="Z296" s="38"/>
      <c r="AA296" s="38"/>
      <c r="AB296" s="38"/>
      <c r="AC296" s="38"/>
      <c r="AD296" s="38"/>
      <c r="AE296" s="38"/>
      <c r="AF296" s="38"/>
      <c r="AG296" s="38"/>
    </row>
    <row r="297" spans="1:33" x14ac:dyDescent="0.25">
      <c r="A297" s="38"/>
      <c r="B297" s="38"/>
      <c r="C297" s="38"/>
      <c r="D297" s="268"/>
      <c r="E297" s="38"/>
      <c r="F297" s="38"/>
      <c r="G297" s="38"/>
      <c r="H297" s="38"/>
      <c r="I297" s="38"/>
      <c r="J297" s="38"/>
      <c r="K297" s="38"/>
      <c r="L297" s="38"/>
      <c r="M297" s="38"/>
      <c r="N297" s="38"/>
      <c r="O297" s="205"/>
      <c r="P297" s="38"/>
      <c r="Q297" s="38"/>
      <c r="R297" s="38"/>
      <c r="S297" s="38"/>
      <c r="T297" s="38"/>
      <c r="U297" s="38"/>
      <c r="V297" s="38"/>
      <c r="W297" s="38"/>
      <c r="X297" s="38"/>
      <c r="Y297" s="38"/>
      <c r="Z297" s="38"/>
      <c r="AA297" s="38"/>
      <c r="AB297" s="38"/>
      <c r="AC297" s="38"/>
      <c r="AD297" s="38"/>
      <c r="AE297" s="38"/>
      <c r="AF297" s="38"/>
      <c r="AG297" s="38"/>
    </row>
    <row r="298" spans="1:33" x14ac:dyDescent="0.25">
      <c r="A298" s="38"/>
      <c r="B298" s="38"/>
      <c r="C298" s="38"/>
      <c r="D298" s="268"/>
      <c r="E298" s="38"/>
      <c r="F298" s="38"/>
      <c r="G298" s="38"/>
      <c r="H298" s="38"/>
      <c r="I298" s="38"/>
      <c r="J298" s="38"/>
      <c r="K298" s="38"/>
      <c r="L298" s="38"/>
      <c r="M298" s="38"/>
      <c r="N298" s="38"/>
      <c r="O298" s="205"/>
      <c r="P298" s="38"/>
      <c r="Q298" s="38"/>
      <c r="R298" s="38"/>
      <c r="S298" s="38"/>
      <c r="T298" s="38"/>
      <c r="U298" s="38"/>
      <c r="V298" s="38"/>
      <c r="W298" s="38"/>
      <c r="X298" s="38"/>
      <c r="Y298" s="38"/>
      <c r="Z298" s="38"/>
      <c r="AA298" s="38"/>
      <c r="AB298" s="38"/>
      <c r="AC298" s="38"/>
      <c r="AD298" s="38"/>
      <c r="AE298" s="38"/>
      <c r="AF298" s="38"/>
      <c r="AG298" s="38"/>
    </row>
    <row r="299" spans="1:33" x14ac:dyDescent="0.25">
      <c r="A299" s="38"/>
      <c r="B299" s="38"/>
      <c r="C299" s="38"/>
      <c r="D299" s="268"/>
      <c r="E299" s="38"/>
      <c r="F299" s="38"/>
      <c r="G299" s="38"/>
      <c r="H299" s="38"/>
      <c r="I299" s="38"/>
      <c r="J299" s="38"/>
      <c r="K299" s="38"/>
      <c r="L299" s="38"/>
      <c r="M299" s="38"/>
      <c r="N299" s="38"/>
      <c r="O299" s="205"/>
      <c r="P299" s="38"/>
      <c r="Q299" s="38"/>
      <c r="R299" s="38"/>
      <c r="S299" s="38"/>
      <c r="T299" s="38"/>
      <c r="U299" s="38"/>
      <c r="V299" s="38"/>
      <c r="W299" s="38"/>
      <c r="X299" s="38"/>
      <c r="Y299" s="38"/>
      <c r="Z299" s="38"/>
      <c r="AA299" s="38"/>
      <c r="AB299" s="38"/>
      <c r="AC299" s="38"/>
      <c r="AD299" s="38"/>
      <c r="AE299" s="38"/>
      <c r="AF299" s="38"/>
      <c r="AG299" s="38"/>
    </row>
    <row r="300" spans="1:33" x14ac:dyDescent="0.25">
      <c r="A300" s="38"/>
      <c r="B300" s="38"/>
      <c r="C300" s="38"/>
      <c r="D300" s="268"/>
      <c r="E300" s="38"/>
      <c r="F300" s="38"/>
      <c r="G300" s="38"/>
      <c r="H300" s="38"/>
      <c r="I300" s="38"/>
      <c r="J300" s="38"/>
      <c r="K300" s="38"/>
      <c r="L300" s="38"/>
      <c r="M300" s="38"/>
      <c r="N300" s="38"/>
      <c r="O300" s="205"/>
      <c r="P300" s="38"/>
      <c r="Q300" s="38"/>
      <c r="R300" s="38"/>
      <c r="S300" s="38"/>
      <c r="T300" s="38"/>
      <c r="U300" s="38"/>
      <c r="V300" s="38"/>
      <c r="W300" s="38"/>
      <c r="X300" s="38"/>
      <c r="Y300" s="38"/>
      <c r="Z300" s="38"/>
      <c r="AA300" s="38"/>
      <c r="AB300" s="38"/>
      <c r="AC300" s="38"/>
      <c r="AD300" s="38"/>
      <c r="AE300" s="38"/>
      <c r="AF300" s="38"/>
      <c r="AG300" s="38"/>
    </row>
    <row r="301" spans="1:33" x14ac:dyDescent="0.25">
      <c r="A301" s="38"/>
      <c r="B301" s="38"/>
      <c r="C301" s="38"/>
      <c r="D301" s="268"/>
      <c r="E301" s="38"/>
      <c r="F301" s="38"/>
      <c r="G301" s="38"/>
      <c r="H301" s="38"/>
      <c r="I301" s="38"/>
      <c r="J301" s="38"/>
      <c r="K301" s="38"/>
      <c r="L301" s="38"/>
      <c r="M301" s="38"/>
      <c r="N301" s="38"/>
      <c r="O301" s="205"/>
      <c r="P301" s="38"/>
      <c r="Q301" s="38"/>
      <c r="R301" s="38"/>
      <c r="S301" s="38"/>
      <c r="T301" s="38"/>
      <c r="U301" s="38"/>
      <c r="V301" s="38"/>
      <c r="W301" s="38"/>
      <c r="X301" s="38"/>
      <c r="Y301" s="38"/>
      <c r="Z301" s="38"/>
      <c r="AA301" s="38"/>
      <c r="AB301" s="38"/>
      <c r="AC301" s="38"/>
      <c r="AD301" s="38"/>
      <c r="AE301" s="38"/>
      <c r="AF301" s="38"/>
      <c r="AG301" s="38"/>
    </row>
    <row r="302" spans="1:33" x14ac:dyDescent="0.25">
      <c r="A302" s="38"/>
      <c r="B302" s="38"/>
      <c r="C302" s="38"/>
      <c r="D302" s="268"/>
      <c r="E302" s="38"/>
      <c r="F302" s="38"/>
      <c r="G302" s="38"/>
      <c r="I302" s="38"/>
      <c r="J302" s="38"/>
      <c r="K302" s="38"/>
      <c r="L302" s="38"/>
      <c r="M302" s="38"/>
      <c r="N302" s="38"/>
      <c r="O302" s="205"/>
      <c r="P302" s="38"/>
      <c r="Q302" s="38"/>
      <c r="R302" s="38"/>
      <c r="S302" s="38"/>
      <c r="T302" s="38"/>
      <c r="U302" s="38"/>
      <c r="V302" s="38"/>
      <c r="W302" s="38"/>
      <c r="X302" s="38"/>
      <c r="Y302" s="38"/>
      <c r="Z302" s="38"/>
      <c r="AA302" s="38"/>
      <c r="AB302" s="38"/>
      <c r="AC302" s="38"/>
      <c r="AD302" s="38"/>
      <c r="AE302" s="38"/>
      <c r="AF302" s="38"/>
      <c r="AG302" s="38"/>
    </row>
    <row r="303" spans="1:33" x14ac:dyDescent="0.25">
      <c r="A303" s="38"/>
      <c r="B303" s="38"/>
      <c r="C303" s="38"/>
      <c r="D303" s="268"/>
      <c r="E303" s="38"/>
      <c r="F303" s="38"/>
      <c r="G303" s="38"/>
      <c r="J303" s="38"/>
      <c r="K303" s="38"/>
      <c r="L303" s="38"/>
      <c r="M303" s="38"/>
      <c r="N303" s="38"/>
      <c r="O303" s="205"/>
      <c r="P303" s="38"/>
      <c r="Q303" s="38"/>
      <c r="R303" s="38"/>
      <c r="S303" s="38"/>
      <c r="T303" s="38"/>
      <c r="U303" s="38"/>
      <c r="V303" s="38"/>
      <c r="W303" s="38"/>
      <c r="X303" s="38"/>
      <c r="Y303" s="38"/>
      <c r="Z303" s="38"/>
      <c r="AA303" s="38"/>
      <c r="AB303" s="38"/>
      <c r="AC303" s="38"/>
      <c r="AD303" s="38"/>
      <c r="AE303" s="38"/>
      <c r="AF303" s="38"/>
      <c r="AG303" s="38"/>
    </row>
    <row r="304" spans="1:33" x14ac:dyDescent="0.25">
      <c r="A304" s="38"/>
      <c r="B304" s="38"/>
      <c r="C304" s="38"/>
      <c r="D304" s="268"/>
      <c r="E304" s="38"/>
      <c r="F304" s="38"/>
      <c r="G304" s="38"/>
      <c r="J304" s="38"/>
      <c r="K304" s="38"/>
      <c r="L304" s="38"/>
      <c r="M304" s="38"/>
      <c r="N304" s="38"/>
      <c r="O304" s="205"/>
      <c r="P304" s="38"/>
      <c r="Q304" s="38"/>
      <c r="R304" s="38"/>
      <c r="S304" s="38"/>
      <c r="T304" s="38"/>
      <c r="U304" s="38"/>
      <c r="V304" s="38"/>
      <c r="W304" s="38"/>
      <c r="X304" s="38"/>
      <c r="Y304" s="38"/>
      <c r="Z304" s="38"/>
      <c r="AA304" s="38"/>
      <c r="AB304" s="38"/>
      <c r="AC304" s="38"/>
      <c r="AD304" s="38"/>
      <c r="AE304" s="38"/>
      <c r="AF304" s="38"/>
      <c r="AG304" s="38"/>
    </row>
    <row r="305" spans="1:7" x14ac:dyDescent="0.25">
      <c r="A305" s="38"/>
      <c r="B305" s="38"/>
      <c r="C305" s="38"/>
      <c r="D305" s="268"/>
      <c r="E305" s="38"/>
      <c r="F305" s="38"/>
      <c r="G305" s="38"/>
    </row>
    <row r="306" spans="1:7" x14ac:dyDescent="0.25">
      <c r="A306" s="38"/>
      <c r="B306" s="38"/>
      <c r="C306" s="38"/>
      <c r="D306" s="268"/>
      <c r="E306" s="38"/>
      <c r="F306" s="38"/>
      <c r="G306" s="38"/>
    </row>
  </sheetData>
  <sheetProtection sheet="1" objects="1" scenarios="1" selectLockedCells="1"/>
  <sortState ref="L13:L19">
    <sortCondition ref="L13"/>
  </sortState>
  <dataConsolidate/>
  <mergeCells count="21">
    <mergeCell ref="O1:V1"/>
    <mergeCell ref="C41:G41"/>
    <mergeCell ref="C37:G37"/>
    <mergeCell ref="C42:G42"/>
    <mergeCell ref="C39:G39"/>
    <mergeCell ref="C40:G40"/>
    <mergeCell ref="C29:G29"/>
    <mergeCell ref="C31:G31"/>
    <mergeCell ref="C48:G48"/>
    <mergeCell ref="C38:G38"/>
    <mergeCell ref="C30:G30"/>
    <mergeCell ref="C36:G36"/>
    <mergeCell ref="C35:G35"/>
    <mergeCell ref="C34:G34"/>
    <mergeCell ref="C33:G33"/>
    <mergeCell ref="C32:G32"/>
    <mergeCell ref="C43:G43"/>
    <mergeCell ref="C44:G44"/>
    <mergeCell ref="C45:G45"/>
    <mergeCell ref="C46:G46"/>
    <mergeCell ref="C47:G47"/>
  </mergeCells>
  <phoneticPr fontId="2" type="noConversion"/>
  <conditionalFormatting sqref="V27:V38">
    <cfRule type="cellIs" priority="1" stopIfTrue="1" operator="equal">
      <formula>"zero"</formula>
    </cfRule>
  </conditionalFormatting>
  <dataValidations count="1">
    <dataValidation type="list" showInputMessage="1" showErrorMessage="1" sqref="C6" xr:uid="{00000000-0002-0000-0100-000000000000}">
      <formula1>$L$22:$L$33</formula1>
    </dataValidation>
  </dataValidations>
  <pageMargins left="0.7" right="0.7" top="0.75" bottom="0.75" header="0.3" footer="0.3"/>
  <pageSetup scale="56" orientation="portrait" r:id="rId1"/>
  <headerFooter alignWithMargins="0">
    <oddFooter>&amp;L&amp;"-,Regular"&amp;8Ver. 1.0
&amp;F
&amp;Z&amp;F&amp;C&amp;"-,Regular"North Dakota NRCS IWM Certification Form  
General Information 
&amp;"Arial,Regular"
&amp;R&amp;"-,Regular"&amp;8&amp;D
&amp;T</oddFooter>
  </headerFooter>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0000000-0002-0000-0100-000001000000}">
          <x14:formula1>
            <xm:f>NEH!$C$4:$C$24</xm:f>
          </x14:formula1>
          <xm:sqref>C15:D15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L326"/>
  <sheetViews>
    <sheetView zoomScale="85" zoomScaleNormal="85" zoomScaleSheetLayoutView="100" workbookViewId="0">
      <selection activeCell="A10" sqref="A10"/>
    </sheetView>
  </sheetViews>
  <sheetFormatPr defaultColWidth="8.85546875" defaultRowHeight="12.75" x14ac:dyDescent="0.2"/>
  <cols>
    <col min="1" max="1" width="12.140625" style="53" customWidth="1"/>
    <col min="2" max="2" width="13.28515625" style="53" customWidth="1"/>
    <col min="3" max="3" width="10.85546875" style="53" customWidth="1"/>
    <col min="4" max="4" width="19.5703125" style="53" customWidth="1"/>
    <col min="5" max="5" width="19.7109375" style="53" customWidth="1"/>
    <col min="6" max="6" width="21.7109375" style="53" bestFit="1" customWidth="1"/>
    <col min="7" max="7" width="16.7109375" style="53" customWidth="1"/>
    <col min="8" max="8" width="3.28515625" style="53" customWidth="1"/>
    <col min="9" max="9" width="25.7109375" style="53" bestFit="1" customWidth="1"/>
    <col min="10" max="10" width="25.28515625" style="53" customWidth="1"/>
    <col min="11" max="12" width="28" style="53" hidden="1" customWidth="1"/>
    <col min="13" max="13" width="28.42578125" style="53" hidden="1" customWidth="1"/>
    <col min="14" max="15" width="28.7109375" style="53" hidden="1" customWidth="1"/>
    <col min="16" max="16" width="29.42578125" style="53" hidden="1" customWidth="1"/>
    <col min="17" max="17" width="13.28515625" style="53" hidden="1" customWidth="1"/>
    <col min="18" max="18" width="14.7109375" style="53" hidden="1" customWidth="1"/>
    <col min="19" max="19" width="11.5703125" style="53" hidden="1" customWidth="1"/>
    <col min="20" max="20" width="11.7109375" style="53" hidden="1" customWidth="1"/>
    <col min="21" max="21" width="15" style="53" hidden="1" customWidth="1"/>
    <col min="22" max="22" width="11.5703125" style="53" customWidth="1"/>
    <col min="23" max="23" width="12.7109375" style="53" customWidth="1"/>
    <col min="24" max="26" width="11.5703125" style="53" bestFit="1" customWidth="1"/>
    <col min="27" max="27" width="8" style="53" customWidth="1"/>
    <col min="28" max="28" width="6.85546875" style="53" customWidth="1"/>
    <col min="29" max="29" width="8.28515625" style="53" customWidth="1"/>
    <col min="30" max="30" width="7.5703125" style="53" customWidth="1"/>
    <col min="31" max="31" width="8" style="53" customWidth="1"/>
    <col min="32" max="32" width="8.42578125" style="53" customWidth="1"/>
    <col min="33" max="33" width="7.5703125" style="53" customWidth="1"/>
    <col min="34" max="34" width="6.42578125" style="53" customWidth="1"/>
    <col min="35" max="35" width="6.5703125" style="53" customWidth="1"/>
    <col min="36" max="36" width="6.42578125" style="53" customWidth="1"/>
    <col min="37" max="48" width="9.140625" style="53" customWidth="1"/>
    <col min="49" max="16384" width="8.85546875" style="53"/>
  </cols>
  <sheetData>
    <row r="1" spans="1:36" ht="21" x14ac:dyDescent="0.35">
      <c r="A1" s="146" t="s">
        <v>177</v>
      </c>
      <c r="E1" s="34"/>
      <c r="F1" s="34"/>
      <c r="G1" s="34"/>
      <c r="H1" s="34"/>
      <c r="I1" s="34"/>
      <c r="M1" s="147"/>
    </row>
    <row r="2" spans="1:36" ht="21" x14ac:dyDescent="0.35">
      <c r="A2" s="146"/>
      <c r="E2" s="34"/>
      <c r="F2" s="148"/>
      <c r="G2" s="149"/>
      <c r="H2" s="55"/>
      <c r="I2" s="55"/>
      <c r="J2" s="150"/>
      <c r="K2" s="150"/>
    </row>
    <row r="3" spans="1:36" ht="15.75" x14ac:dyDescent="0.25">
      <c r="A3" s="34" t="s">
        <v>256</v>
      </c>
      <c r="C3" s="34"/>
      <c r="D3" s="34"/>
      <c r="E3" s="34"/>
      <c r="F3" s="55"/>
      <c r="G3" s="54"/>
      <c r="H3" s="55"/>
      <c r="I3" s="55"/>
      <c r="K3" s="147"/>
      <c r="N3" s="147"/>
      <c r="O3" s="147"/>
      <c r="P3" s="34"/>
      <c r="Q3" s="34"/>
      <c r="R3" s="34"/>
      <c r="S3" s="34"/>
      <c r="T3" s="34"/>
      <c r="U3" s="34"/>
      <c r="V3" s="34"/>
      <c r="W3" s="34"/>
      <c r="X3" s="34"/>
      <c r="Y3" s="34"/>
      <c r="Z3" s="151"/>
      <c r="AA3" s="34"/>
      <c r="AB3" s="34"/>
      <c r="AC3" s="34"/>
      <c r="AD3" s="34"/>
      <c r="AE3" s="34"/>
      <c r="AF3" s="34"/>
      <c r="AG3" s="34"/>
      <c r="AH3" s="34"/>
      <c r="AI3" s="34"/>
      <c r="AJ3" s="34"/>
    </row>
    <row r="4" spans="1:36" x14ac:dyDescent="0.2">
      <c r="A4" s="34" t="s">
        <v>174</v>
      </c>
      <c r="C4" s="34"/>
      <c r="D4" s="34"/>
      <c r="E4" s="34"/>
      <c r="F4" s="55"/>
      <c r="G4" s="54"/>
      <c r="H4" s="152"/>
      <c r="I4" s="152"/>
      <c r="Q4" s="153"/>
      <c r="R4" s="34"/>
      <c r="S4" s="34"/>
      <c r="T4" s="34"/>
      <c r="U4" s="34"/>
      <c r="V4" s="34"/>
      <c r="W4" s="34"/>
      <c r="X4" s="34"/>
      <c r="Y4" s="34"/>
      <c r="Z4" s="34"/>
      <c r="AA4" s="34"/>
      <c r="AB4" s="34"/>
      <c r="AC4" s="34"/>
      <c r="AD4" s="34"/>
      <c r="AE4" s="34"/>
      <c r="AF4" s="34"/>
      <c r="AG4" s="34"/>
      <c r="AH4" s="34"/>
      <c r="AI4" s="34"/>
      <c r="AJ4" s="34"/>
    </row>
    <row r="5" spans="1:36" ht="15.75" x14ac:dyDescent="0.25">
      <c r="A5" s="154"/>
      <c r="B5" s="38"/>
      <c r="C5" s="38"/>
      <c r="E5" s="155"/>
      <c r="F5" s="55"/>
      <c r="G5" s="54"/>
      <c r="H5" s="55"/>
      <c r="I5" s="55"/>
      <c r="L5" s="463" t="s">
        <v>334</v>
      </c>
      <c r="M5" s="464">
        <f>MAX(E10:E49)</f>
        <v>0</v>
      </c>
      <c r="N5" s="463" t="str">
        <f>E9</f>
        <v/>
      </c>
      <c r="P5" s="38"/>
      <c r="Q5" s="38"/>
      <c r="R5" s="38"/>
      <c r="S5" s="38"/>
      <c r="T5" s="34"/>
      <c r="U5" s="34"/>
      <c r="V5" s="157"/>
      <c r="W5" s="158"/>
      <c r="X5" s="34"/>
      <c r="Y5" s="34"/>
      <c r="Z5" s="157"/>
      <c r="AA5" s="158"/>
      <c r="AB5" s="34"/>
      <c r="AC5" s="34"/>
      <c r="AD5" s="34"/>
      <c r="AE5" s="34"/>
      <c r="AF5" s="34"/>
      <c r="AG5" s="34"/>
      <c r="AH5" s="34"/>
      <c r="AI5" s="34"/>
      <c r="AJ5" s="34"/>
    </row>
    <row r="6" spans="1:36" ht="15" x14ac:dyDescent="0.25">
      <c r="A6" s="159" t="s">
        <v>152</v>
      </c>
      <c r="B6" s="34"/>
      <c r="C6" s="160">
        <f>'General Information'!C8</f>
        <v>0</v>
      </c>
      <c r="D6" s="161"/>
      <c r="E6" s="34"/>
      <c r="F6" s="55"/>
      <c r="G6" s="54"/>
      <c r="H6" s="55"/>
      <c r="I6" s="55"/>
      <c r="K6" s="162"/>
      <c r="U6" s="34"/>
      <c r="V6" s="157"/>
      <c r="W6" s="158"/>
      <c r="X6" s="34"/>
      <c r="Y6" s="34"/>
      <c r="Z6" s="157"/>
      <c r="AA6" s="163"/>
      <c r="AB6" s="34"/>
      <c r="AC6" s="34"/>
      <c r="AD6" s="157"/>
      <c r="AE6" s="164"/>
      <c r="AF6" s="34"/>
      <c r="AG6" s="34"/>
      <c r="AH6" s="34"/>
      <c r="AI6" s="34"/>
      <c r="AJ6" s="34"/>
    </row>
    <row r="7" spans="1:36" x14ac:dyDescent="0.2">
      <c r="E7" s="34"/>
      <c r="F7" s="55"/>
      <c r="G7" s="54"/>
      <c r="H7" s="55"/>
      <c r="I7" s="55"/>
      <c r="K7" s="162"/>
      <c r="U7" s="34"/>
      <c r="W7" s="165"/>
      <c r="X7" s="34"/>
      <c r="Y7" s="34"/>
      <c r="Z7" s="34"/>
      <c r="AA7" s="34"/>
      <c r="AB7" s="34"/>
      <c r="AC7" s="34"/>
      <c r="AD7" s="157"/>
      <c r="AE7" s="166"/>
      <c r="AF7" s="34"/>
      <c r="AG7" s="34"/>
      <c r="AH7" s="34"/>
      <c r="AI7" s="34"/>
      <c r="AJ7" s="34"/>
    </row>
    <row r="8" spans="1:36" ht="47.25" x14ac:dyDescent="0.25">
      <c r="B8" s="38"/>
      <c r="C8" s="38"/>
      <c r="D8" s="167" t="s">
        <v>284</v>
      </c>
      <c r="E8" s="167" t="s">
        <v>285</v>
      </c>
      <c r="F8" s="168"/>
      <c r="G8" s="169"/>
      <c r="K8" s="170" t="s">
        <v>277</v>
      </c>
      <c r="L8" s="171"/>
      <c r="M8" s="171"/>
      <c r="N8" s="171"/>
      <c r="O8" s="171"/>
      <c r="P8" s="172"/>
      <c r="Q8" s="173"/>
      <c r="R8" s="173"/>
      <c r="S8" s="174"/>
      <c r="U8" s="175"/>
      <c r="V8" s="55"/>
      <c r="W8" s="34"/>
      <c r="X8" s="34"/>
      <c r="Y8" s="34"/>
      <c r="Z8" s="34"/>
      <c r="AA8" s="34"/>
      <c r="AB8" s="34"/>
      <c r="AC8" s="34"/>
      <c r="AD8" s="157"/>
      <c r="AE8" s="165"/>
      <c r="AF8" s="34"/>
      <c r="AG8" s="34"/>
      <c r="AH8" s="34"/>
      <c r="AI8" s="34"/>
      <c r="AJ8" s="34"/>
    </row>
    <row r="9" spans="1:36" ht="50.45" customHeight="1" thickBot="1" x14ac:dyDescent="0.3">
      <c r="A9" s="176" t="s">
        <v>115</v>
      </c>
      <c r="B9" s="176" t="s">
        <v>116</v>
      </c>
      <c r="C9" s="176" t="s">
        <v>114</v>
      </c>
      <c r="D9" s="224"/>
      <c r="E9" s="177" t="str">
        <f>IF(D9="","",D9)</f>
        <v/>
      </c>
      <c r="F9" s="176" t="s">
        <v>117</v>
      </c>
      <c r="G9" s="177" t="s">
        <v>118</v>
      </c>
      <c r="H9" s="178"/>
      <c r="I9" s="178"/>
      <c r="K9" s="170" t="s">
        <v>278</v>
      </c>
      <c r="L9" s="179" t="s">
        <v>279</v>
      </c>
      <c r="M9" s="179" t="s">
        <v>280</v>
      </c>
      <c r="N9" s="180" t="s">
        <v>281</v>
      </c>
      <c r="O9" s="180" t="s">
        <v>282</v>
      </c>
      <c r="P9" s="180" t="s">
        <v>283</v>
      </c>
      <c r="Q9" s="173"/>
      <c r="R9" s="173"/>
      <c r="S9" s="174"/>
      <c r="U9" s="175"/>
      <c r="V9" s="55"/>
      <c r="W9" s="34"/>
      <c r="X9" s="34"/>
      <c r="Y9" s="157"/>
      <c r="Z9" s="165"/>
      <c r="AA9" s="34"/>
      <c r="AB9" s="34"/>
      <c r="AC9" s="34"/>
      <c r="AD9" s="157"/>
      <c r="AE9" s="165"/>
      <c r="AF9" s="34"/>
      <c r="AG9" s="34"/>
      <c r="AH9" s="34"/>
      <c r="AI9" s="34"/>
      <c r="AJ9" s="34"/>
    </row>
    <row r="10" spans="1:36" ht="15.75" x14ac:dyDescent="0.25">
      <c r="A10" s="120"/>
      <c r="B10" s="181">
        <v>1</v>
      </c>
      <c r="C10" s="181">
        <f>'General Information'!$C$7</f>
        <v>0</v>
      </c>
      <c r="D10" s="128"/>
      <c r="E10" s="128"/>
      <c r="F10" s="121" t="str">
        <f>IF($D$9=$K$9,K10,IF($D$9=$L$9,L10,IF($D$9=$M$9,M10,IF($D$9=$N$9,N10,IF($D$9=$O$9,O10,IF($D$9=$P$9,P10,""))))))</f>
        <v/>
      </c>
      <c r="G10" s="62" t="str">
        <f>IF(A10="","",+F10*($C$6/100))</f>
        <v/>
      </c>
      <c r="K10" s="182" t="str">
        <f>IF(A10="","",((E10-D10)*100/27154)/C10)</f>
        <v/>
      </c>
      <c r="L10" s="182" t="str">
        <f>IF(A10="","",((E10-D10)*1000/27154)/C10)</f>
        <v/>
      </c>
      <c r="M10" s="182" t="str">
        <f>IF(A10="","",(((E10-D10)*12)/+C10))</f>
        <v/>
      </c>
      <c r="N10" s="182" t="str">
        <f>IF(A10="","",((E10-D10)*12/1000)/C10)</f>
        <v/>
      </c>
      <c r="O10" s="182" t="str">
        <f>IF(A10="","",(((E10-D10)*12/100)/C10))</f>
        <v/>
      </c>
      <c r="P10" s="182" t="str">
        <f>IF(A10="","",(((E10-D10)/100)/C10))</f>
        <v/>
      </c>
      <c r="Q10" s="173"/>
      <c r="R10" s="173"/>
      <c r="S10" s="460"/>
      <c r="T10" s="460"/>
      <c r="U10" s="460"/>
      <c r="V10" s="460"/>
      <c r="W10" s="460"/>
      <c r="X10" s="460"/>
      <c r="Y10" s="460"/>
      <c r="Z10" s="460"/>
      <c r="AA10" s="183"/>
      <c r="AB10" s="183"/>
      <c r="AC10" s="183"/>
      <c r="AD10" s="183"/>
      <c r="AE10" s="183"/>
      <c r="AF10" s="183"/>
      <c r="AG10" s="183"/>
      <c r="AH10" s="34"/>
      <c r="AI10" s="34"/>
      <c r="AJ10" s="34"/>
    </row>
    <row r="11" spans="1:36" ht="15.75" x14ac:dyDescent="0.25">
      <c r="A11" s="119"/>
      <c r="B11" s="181">
        <v>2</v>
      </c>
      <c r="C11" s="181" t="str">
        <f>IF(E11="","",+$C$10)</f>
        <v/>
      </c>
      <c r="D11" s="130" t="str">
        <f>IF(D10="","",+E10)</f>
        <v/>
      </c>
      <c r="E11" s="129"/>
      <c r="F11" s="121" t="str">
        <f t="shared" ref="F11:F49" si="0">IF($D$9=$K$9,K11,IF($D$9=$L$9,L11,IF($D$9=$M$9,M11,IF($D$9=$N$9,N11,IF($D$9=$O$9,O11,IF($D$9=$P$9,P11,""))))))</f>
        <v/>
      </c>
      <c r="G11" s="62" t="str">
        <f t="shared" ref="G11:G49" si="1">IF(A11="","",+F11*($C$6/100))</f>
        <v/>
      </c>
      <c r="H11" s="186"/>
      <c r="I11" s="186"/>
      <c r="J11" s="150"/>
      <c r="K11" s="182" t="str">
        <f t="shared" ref="K11:K49" si="2">IF(A11="","",((E11-D11)*100/27154)/C11)</f>
        <v/>
      </c>
      <c r="L11" s="182" t="str">
        <f t="shared" ref="L11:L49" si="3">IF(A11="","",((E11-D11)*1000/27154)/C11)</f>
        <v/>
      </c>
      <c r="M11" s="182" t="str">
        <f t="shared" ref="M11:M49" si="4">IF(A11="","",(((E11-D11)*12)/+C11))</f>
        <v/>
      </c>
      <c r="N11" s="182" t="str">
        <f t="shared" ref="N11:N49" si="5">IF(A11="","",((E11-D11)*12/1000)/C11)</f>
        <v/>
      </c>
      <c r="O11" s="182" t="str">
        <f t="shared" ref="O11:O49" si="6">IF(A11="","",(((E11-D11)*12/100)/C11))</f>
        <v/>
      </c>
      <c r="P11" s="182" t="str">
        <f t="shared" ref="P11:P49" si="7">IF(A11="","",(((E11-D11)/100)/C11))</f>
        <v/>
      </c>
      <c r="Q11" s="173"/>
      <c r="R11" s="173"/>
      <c r="S11" s="174"/>
      <c r="U11" s="175"/>
      <c r="V11" s="55"/>
      <c r="W11" s="34"/>
      <c r="X11" s="183"/>
      <c r="Y11" s="184"/>
      <c r="Z11" s="185"/>
      <c r="AA11" s="183"/>
      <c r="AB11" s="183"/>
      <c r="AC11" s="183"/>
      <c r="AD11" s="183"/>
      <c r="AE11" s="183"/>
      <c r="AF11" s="183"/>
      <c r="AG11" s="183"/>
      <c r="AH11" s="34"/>
      <c r="AI11" s="34"/>
      <c r="AJ11" s="34"/>
    </row>
    <row r="12" spans="1:36" ht="15.75" x14ac:dyDescent="0.25">
      <c r="A12" s="119"/>
      <c r="B12" s="181">
        <v>3</v>
      </c>
      <c r="C12" s="181" t="str">
        <f t="shared" ref="C12:C49" si="8">IF(E12="","",+$C$10)</f>
        <v/>
      </c>
      <c r="D12" s="130" t="str">
        <f t="shared" ref="D12:D49" si="9">IF(D11="","",+E11)</f>
        <v/>
      </c>
      <c r="E12" s="129"/>
      <c r="F12" s="121" t="str">
        <f t="shared" si="0"/>
        <v/>
      </c>
      <c r="G12" s="62" t="str">
        <f t="shared" si="1"/>
        <v/>
      </c>
      <c r="H12" s="186"/>
      <c r="I12" s="186"/>
      <c r="J12" s="150"/>
      <c r="K12" s="182" t="str">
        <f t="shared" si="2"/>
        <v/>
      </c>
      <c r="L12" s="182" t="str">
        <f t="shared" si="3"/>
        <v/>
      </c>
      <c r="M12" s="182" t="str">
        <f t="shared" si="4"/>
        <v/>
      </c>
      <c r="N12" s="182" t="str">
        <f t="shared" si="5"/>
        <v/>
      </c>
      <c r="O12" s="182" t="str">
        <f t="shared" si="6"/>
        <v/>
      </c>
      <c r="P12" s="182" t="str">
        <f t="shared" si="7"/>
        <v/>
      </c>
      <c r="Q12" s="173"/>
      <c r="R12" s="173"/>
      <c r="S12" s="174"/>
      <c r="U12" s="34"/>
      <c r="V12" s="55"/>
      <c r="W12" s="34"/>
      <c r="X12" s="183"/>
      <c r="Y12" s="183"/>
      <c r="Z12" s="183"/>
      <c r="AA12" s="183"/>
      <c r="AB12" s="34"/>
      <c r="AC12" s="34"/>
      <c r="AD12" s="34"/>
      <c r="AE12" s="34"/>
      <c r="AF12" s="187"/>
      <c r="AG12" s="183"/>
      <c r="AH12" s="183"/>
      <c r="AI12" s="183"/>
      <c r="AJ12" s="34"/>
    </row>
    <row r="13" spans="1:36" ht="15.75" x14ac:dyDescent="0.25">
      <c r="A13" s="119"/>
      <c r="B13" s="181">
        <v>4</v>
      </c>
      <c r="C13" s="181" t="str">
        <f t="shared" si="8"/>
        <v/>
      </c>
      <c r="D13" s="130" t="str">
        <f t="shared" si="9"/>
        <v/>
      </c>
      <c r="E13" s="129"/>
      <c r="F13" s="121" t="str">
        <f t="shared" si="0"/>
        <v/>
      </c>
      <c r="G13" s="62" t="str">
        <f t="shared" si="1"/>
        <v/>
      </c>
      <c r="H13" s="186"/>
      <c r="I13" s="186"/>
      <c r="J13" s="150"/>
      <c r="K13" s="182" t="str">
        <f t="shared" si="2"/>
        <v/>
      </c>
      <c r="L13" s="182" t="str">
        <f t="shared" si="3"/>
        <v/>
      </c>
      <c r="M13" s="182" t="str">
        <f t="shared" si="4"/>
        <v/>
      </c>
      <c r="N13" s="182" t="str">
        <f t="shared" si="5"/>
        <v/>
      </c>
      <c r="O13" s="182" t="str">
        <f t="shared" si="6"/>
        <v/>
      </c>
      <c r="P13" s="182" t="str">
        <f t="shared" si="7"/>
        <v/>
      </c>
      <c r="Q13" s="173"/>
      <c r="R13" s="173"/>
      <c r="S13" s="174"/>
      <c r="U13" s="188"/>
      <c r="V13" s="189"/>
      <c r="W13" s="190"/>
      <c r="X13" s="191"/>
      <c r="Y13" s="192"/>
      <c r="Z13" s="190"/>
      <c r="AA13" s="193"/>
      <c r="AB13" s="194"/>
      <c r="AC13" s="188"/>
      <c r="AD13" s="195"/>
      <c r="AE13" s="195"/>
      <c r="AF13" s="191"/>
      <c r="AG13" s="195"/>
      <c r="AH13" s="195"/>
      <c r="AI13" s="191"/>
      <c r="AJ13" s="194"/>
    </row>
    <row r="14" spans="1:36" ht="15.75" x14ac:dyDescent="0.25">
      <c r="A14" s="119"/>
      <c r="B14" s="181">
        <v>5</v>
      </c>
      <c r="C14" s="181" t="str">
        <f t="shared" si="8"/>
        <v/>
      </c>
      <c r="D14" s="130" t="str">
        <f t="shared" si="9"/>
        <v/>
      </c>
      <c r="E14" s="129"/>
      <c r="F14" s="121" t="str">
        <f t="shared" si="0"/>
        <v/>
      </c>
      <c r="G14" s="62" t="str">
        <f t="shared" si="1"/>
        <v/>
      </c>
      <c r="H14" s="186"/>
      <c r="I14" s="186"/>
      <c r="J14" s="150"/>
      <c r="K14" s="182" t="str">
        <f t="shared" si="2"/>
        <v/>
      </c>
      <c r="L14" s="182" t="str">
        <f t="shared" si="3"/>
        <v/>
      </c>
      <c r="M14" s="182" t="str">
        <f t="shared" si="4"/>
        <v/>
      </c>
      <c r="N14" s="182" t="str">
        <f t="shared" si="5"/>
        <v/>
      </c>
      <c r="O14" s="182" t="str">
        <f t="shared" si="6"/>
        <v/>
      </c>
      <c r="P14" s="182" t="str">
        <f t="shared" si="7"/>
        <v/>
      </c>
      <c r="Q14" s="173"/>
      <c r="R14" s="173"/>
      <c r="S14" s="174"/>
      <c r="U14" s="188"/>
      <c r="V14" s="196"/>
      <c r="W14" s="195"/>
      <c r="X14" s="191"/>
      <c r="Y14" s="30"/>
      <c r="Z14" s="195"/>
      <c r="AA14" s="191"/>
      <c r="AB14" s="194"/>
      <c r="AC14" s="188"/>
      <c r="AD14" s="195"/>
      <c r="AE14" s="195"/>
      <c r="AF14" s="191"/>
      <c r="AG14" s="195"/>
      <c r="AH14" s="195"/>
      <c r="AI14" s="191"/>
      <c r="AJ14" s="194"/>
    </row>
    <row r="15" spans="1:36" ht="15.75" x14ac:dyDescent="0.25">
      <c r="A15" s="119"/>
      <c r="B15" s="181">
        <v>6</v>
      </c>
      <c r="C15" s="181" t="str">
        <f t="shared" si="8"/>
        <v/>
      </c>
      <c r="D15" s="130" t="str">
        <f t="shared" si="9"/>
        <v/>
      </c>
      <c r="E15" s="129"/>
      <c r="F15" s="121" t="str">
        <f t="shared" si="0"/>
        <v/>
      </c>
      <c r="G15" s="62" t="str">
        <f t="shared" si="1"/>
        <v/>
      </c>
      <c r="H15" s="186"/>
      <c r="I15" s="186"/>
      <c r="J15" s="150"/>
      <c r="K15" s="182" t="str">
        <f t="shared" si="2"/>
        <v/>
      </c>
      <c r="L15" s="182" t="str">
        <f t="shared" si="3"/>
        <v/>
      </c>
      <c r="M15" s="182" t="str">
        <f t="shared" si="4"/>
        <v/>
      </c>
      <c r="N15" s="182" t="str">
        <f t="shared" si="5"/>
        <v/>
      </c>
      <c r="O15" s="182" t="str">
        <f t="shared" si="6"/>
        <v/>
      </c>
      <c r="P15" s="182" t="str">
        <f t="shared" si="7"/>
        <v/>
      </c>
      <c r="Q15" s="173"/>
      <c r="R15" s="173"/>
      <c r="S15" s="174"/>
      <c r="U15" s="188"/>
      <c r="V15" s="195"/>
      <c r="W15" s="195"/>
      <c r="X15" s="191"/>
      <c r="Y15" s="30"/>
      <c r="Z15" s="195"/>
      <c r="AA15" s="191"/>
      <c r="AB15" s="194"/>
      <c r="AC15" s="188"/>
      <c r="AD15" s="195"/>
      <c r="AE15" s="195"/>
      <c r="AF15" s="191"/>
      <c r="AG15" s="195"/>
      <c r="AH15" s="197"/>
      <c r="AI15" s="191"/>
      <c r="AJ15" s="194"/>
    </row>
    <row r="16" spans="1:36" ht="15.75" x14ac:dyDescent="0.25">
      <c r="A16" s="119"/>
      <c r="B16" s="181">
        <v>7</v>
      </c>
      <c r="C16" s="181" t="str">
        <f t="shared" si="8"/>
        <v/>
      </c>
      <c r="D16" s="130" t="str">
        <f t="shared" si="9"/>
        <v/>
      </c>
      <c r="E16" s="129"/>
      <c r="F16" s="121" t="str">
        <f t="shared" si="0"/>
        <v/>
      </c>
      <c r="G16" s="62" t="str">
        <f t="shared" si="1"/>
        <v/>
      </c>
      <c r="H16" s="186"/>
      <c r="I16" s="186"/>
      <c r="J16" s="150"/>
      <c r="K16" s="182" t="str">
        <f t="shared" si="2"/>
        <v/>
      </c>
      <c r="L16" s="182" t="str">
        <f t="shared" si="3"/>
        <v/>
      </c>
      <c r="M16" s="182" t="str">
        <f t="shared" si="4"/>
        <v/>
      </c>
      <c r="N16" s="182" t="str">
        <f t="shared" si="5"/>
        <v/>
      </c>
      <c r="O16" s="182" t="str">
        <f t="shared" si="6"/>
        <v/>
      </c>
      <c r="P16" s="182" t="str">
        <f t="shared" si="7"/>
        <v/>
      </c>
      <c r="Q16" s="173"/>
      <c r="R16" s="173"/>
      <c r="S16" s="174"/>
      <c r="U16" s="188"/>
      <c r="V16" s="195"/>
      <c r="W16" s="195"/>
      <c r="X16" s="191"/>
      <c r="Y16" s="30"/>
      <c r="Z16" s="195"/>
      <c r="AA16" s="191"/>
      <c r="AB16" s="194"/>
      <c r="AC16" s="188"/>
      <c r="AD16" s="195"/>
      <c r="AE16" s="195"/>
      <c r="AF16" s="191"/>
      <c r="AG16" s="195"/>
      <c r="AH16" s="197"/>
      <c r="AI16" s="191"/>
      <c r="AJ16" s="194"/>
    </row>
    <row r="17" spans="1:36" ht="15.75" x14ac:dyDescent="0.25">
      <c r="A17" s="119"/>
      <c r="B17" s="181">
        <v>8</v>
      </c>
      <c r="C17" s="181" t="str">
        <f t="shared" si="8"/>
        <v/>
      </c>
      <c r="D17" s="130" t="str">
        <f t="shared" si="9"/>
        <v/>
      </c>
      <c r="E17" s="129"/>
      <c r="F17" s="121" t="str">
        <f t="shared" si="0"/>
        <v/>
      </c>
      <c r="G17" s="62" t="str">
        <f t="shared" si="1"/>
        <v/>
      </c>
      <c r="H17" s="186"/>
      <c r="I17" s="186"/>
      <c r="J17" s="150"/>
      <c r="K17" s="182" t="str">
        <f t="shared" si="2"/>
        <v/>
      </c>
      <c r="L17" s="182" t="str">
        <f t="shared" si="3"/>
        <v/>
      </c>
      <c r="M17" s="182" t="str">
        <f t="shared" si="4"/>
        <v/>
      </c>
      <c r="N17" s="182" t="str">
        <f t="shared" si="5"/>
        <v/>
      </c>
      <c r="O17" s="182" t="str">
        <f t="shared" si="6"/>
        <v/>
      </c>
      <c r="P17" s="182" t="str">
        <f t="shared" si="7"/>
        <v/>
      </c>
      <c r="Q17" s="173"/>
      <c r="R17" s="173"/>
      <c r="S17" s="174"/>
      <c r="T17" s="34"/>
      <c r="U17" s="188"/>
      <c r="V17" s="195"/>
      <c r="W17" s="195"/>
      <c r="X17" s="191"/>
      <c r="Y17" s="31"/>
      <c r="Z17" s="197"/>
      <c r="AA17" s="191"/>
      <c r="AB17" s="194"/>
      <c r="AC17" s="188"/>
      <c r="AD17" s="195"/>
      <c r="AE17" s="195"/>
      <c r="AF17" s="191"/>
      <c r="AG17" s="195"/>
      <c r="AH17" s="197"/>
      <c r="AI17" s="191"/>
      <c r="AJ17" s="194"/>
    </row>
    <row r="18" spans="1:36" ht="15.75" x14ac:dyDescent="0.25">
      <c r="A18" s="119"/>
      <c r="B18" s="181">
        <v>9</v>
      </c>
      <c r="C18" s="181" t="str">
        <f t="shared" si="8"/>
        <v/>
      </c>
      <c r="D18" s="130" t="str">
        <f t="shared" si="9"/>
        <v/>
      </c>
      <c r="E18" s="129"/>
      <c r="F18" s="121" t="str">
        <f t="shared" si="0"/>
        <v/>
      </c>
      <c r="G18" s="62" t="str">
        <f t="shared" si="1"/>
        <v/>
      </c>
      <c r="H18" s="186"/>
      <c r="I18" s="186"/>
      <c r="J18" s="150"/>
      <c r="K18" s="182" t="str">
        <f t="shared" si="2"/>
        <v/>
      </c>
      <c r="L18" s="182" t="str">
        <f t="shared" si="3"/>
        <v/>
      </c>
      <c r="M18" s="182" t="str">
        <f t="shared" si="4"/>
        <v/>
      </c>
      <c r="N18" s="182" t="str">
        <f t="shared" si="5"/>
        <v/>
      </c>
      <c r="O18" s="182" t="str">
        <f t="shared" si="6"/>
        <v/>
      </c>
      <c r="P18" s="182" t="str">
        <f t="shared" si="7"/>
        <v/>
      </c>
      <c r="Q18" s="169"/>
      <c r="R18" s="169"/>
      <c r="S18" s="38"/>
      <c r="T18" s="34"/>
      <c r="U18" s="188"/>
      <c r="V18" s="195"/>
      <c r="W18" s="195"/>
      <c r="X18" s="191"/>
      <c r="Y18" s="31"/>
      <c r="Z18" s="197"/>
      <c r="AA18" s="191"/>
      <c r="AB18" s="194"/>
      <c r="AC18" s="188"/>
      <c r="AD18" s="195"/>
      <c r="AE18" s="195"/>
      <c r="AF18" s="191"/>
      <c r="AG18" s="195"/>
      <c r="AH18" s="197"/>
      <c r="AI18" s="191"/>
      <c r="AJ18" s="194"/>
    </row>
    <row r="19" spans="1:36" ht="15.75" x14ac:dyDescent="0.25">
      <c r="A19" s="119"/>
      <c r="B19" s="181">
        <v>10</v>
      </c>
      <c r="C19" s="181" t="str">
        <f t="shared" si="8"/>
        <v/>
      </c>
      <c r="D19" s="130" t="str">
        <f t="shared" si="9"/>
        <v/>
      </c>
      <c r="E19" s="129"/>
      <c r="F19" s="121" t="str">
        <f t="shared" si="0"/>
        <v/>
      </c>
      <c r="G19" s="62" t="str">
        <f t="shared" si="1"/>
        <v/>
      </c>
      <c r="H19" s="186"/>
      <c r="I19" s="186"/>
      <c r="J19" s="150"/>
      <c r="K19" s="182" t="str">
        <f t="shared" si="2"/>
        <v/>
      </c>
      <c r="L19" s="182" t="str">
        <f t="shared" si="3"/>
        <v/>
      </c>
      <c r="M19" s="182" t="str">
        <f t="shared" si="4"/>
        <v/>
      </c>
      <c r="N19" s="182" t="str">
        <f t="shared" si="5"/>
        <v/>
      </c>
      <c r="O19" s="182" t="str">
        <f t="shared" si="6"/>
        <v/>
      </c>
      <c r="P19" s="182" t="str">
        <f t="shared" si="7"/>
        <v/>
      </c>
      <c r="Q19" s="169"/>
      <c r="R19" s="169"/>
      <c r="S19" s="38"/>
      <c r="T19" s="34"/>
      <c r="U19" s="188"/>
      <c r="V19" s="195"/>
      <c r="W19" s="195"/>
      <c r="X19" s="191"/>
      <c r="Y19" s="31"/>
      <c r="Z19" s="197"/>
      <c r="AA19" s="191"/>
      <c r="AB19" s="194"/>
      <c r="AC19" s="188"/>
      <c r="AD19" s="195"/>
      <c r="AE19" s="195"/>
      <c r="AF19" s="191"/>
      <c r="AG19" s="195"/>
      <c r="AH19" s="197"/>
      <c r="AI19" s="191"/>
      <c r="AJ19" s="194"/>
    </row>
    <row r="20" spans="1:36" ht="15.75" x14ac:dyDescent="0.25">
      <c r="A20" s="119"/>
      <c r="B20" s="181">
        <v>11</v>
      </c>
      <c r="C20" s="181" t="str">
        <f t="shared" si="8"/>
        <v/>
      </c>
      <c r="D20" s="130" t="str">
        <f t="shared" si="9"/>
        <v/>
      </c>
      <c r="E20" s="129"/>
      <c r="F20" s="121" t="str">
        <f t="shared" si="0"/>
        <v/>
      </c>
      <c r="G20" s="62" t="str">
        <f t="shared" si="1"/>
        <v/>
      </c>
      <c r="H20" s="186"/>
      <c r="I20" s="186"/>
      <c r="J20" s="150"/>
      <c r="K20" s="182" t="str">
        <f t="shared" si="2"/>
        <v/>
      </c>
      <c r="L20" s="182" t="str">
        <f t="shared" si="3"/>
        <v/>
      </c>
      <c r="M20" s="182" t="str">
        <f t="shared" si="4"/>
        <v/>
      </c>
      <c r="N20" s="182" t="str">
        <f t="shared" si="5"/>
        <v/>
      </c>
      <c r="O20" s="182" t="str">
        <f t="shared" si="6"/>
        <v/>
      </c>
      <c r="P20" s="182" t="str">
        <f t="shared" si="7"/>
        <v/>
      </c>
      <c r="Q20" s="169"/>
      <c r="R20" s="169"/>
      <c r="S20" s="38"/>
      <c r="T20" s="198"/>
      <c r="U20" s="199"/>
      <c r="V20" s="198"/>
      <c r="W20" s="198"/>
      <c r="X20" s="200"/>
      <c r="Y20" s="32"/>
      <c r="Z20" s="201"/>
      <c r="AA20" s="200"/>
      <c r="AB20" s="202"/>
      <c r="AC20" s="199"/>
      <c r="AD20" s="198"/>
      <c r="AE20" s="198"/>
      <c r="AF20" s="200"/>
      <c r="AG20" s="198"/>
      <c r="AH20" s="201"/>
      <c r="AI20" s="191"/>
      <c r="AJ20" s="194"/>
    </row>
    <row r="21" spans="1:36" ht="15.75" x14ac:dyDescent="0.25">
      <c r="A21" s="119"/>
      <c r="B21" s="181">
        <v>12</v>
      </c>
      <c r="C21" s="181" t="str">
        <f t="shared" si="8"/>
        <v/>
      </c>
      <c r="D21" s="130" t="str">
        <f t="shared" si="9"/>
        <v/>
      </c>
      <c r="E21" s="129"/>
      <c r="F21" s="121" t="str">
        <f t="shared" si="0"/>
        <v/>
      </c>
      <c r="G21" s="62" t="str">
        <f t="shared" si="1"/>
        <v/>
      </c>
      <c r="H21" s="186"/>
      <c r="I21" s="186"/>
      <c r="J21" s="150"/>
      <c r="K21" s="182" t="str">
        <f t="shared" si="2"/>
        <v/>
      </c>
      <c r="L21" s="182" t="str">
        <f t="shared" si="3"/>
        <v/>
      </c>
      <c r="M21" s="182" t="str">
        <f t="shared" si="4"/>
        <v/>
      </c>
      <c r="N21" s="182" t="str">
        <f t="shared" si="5"/>
        <v/>
      </c>
      <c r="O21" s="182" t="str">
        <f t="shared" si="6"/>
        <v/>
      </c>
      <c r="P21" s="182" t="str">
        <f t="shared" si="7"/>
        <v/>
      </c>
      <c r="Q21" s="203"/>
      <c r="R21" s="204"/>
      <c r="S21" s="38"/>
      <c r="T21" s="34"/>
      <c r="U21" s="188"/>
      <c r="V21" s="195"/>
      <c r="W21" s="195"/>
      <c r="X21" s="191"/>
      <c r="Y21" s="31"/>
      <c r="Z21" s="197"/>
      <c r="AA21" s="191"/>
      <c r="AB21" s="194"/>
      <c r="AC21" s="188"/>
      <c r="AD21" s="195"/>
      <c r="AE21" s="195"/>
      <c r="AF21" s="191"/>
      <c r="AG21" s="195"/>
      <c r="AH21" s="197"/>
      <c r="AI21" s="191"/>
      <c r="AJ21" s="194"/>
    </row>
    <row r="22" spans="1:36" ht="15.75" x14ac:dyDescent="0.25">
      <c r="A22" s="119"/>
      <c r="B22" s="181">
        <v>13</v>
      </c>
      <c r="C22" s="181" t="str">
        <f t="shared" si="8"/>
        <v/>
      </c>
      <c r="D22" s="130" t="str">
        <f t="shared" si="9"/>
        <v/>
      </c>
      <c r="E22" s="129"/>
      <c r="F22" s="121" t="str">
        <f t="shared" si="0"/>
        <v/>
      </c>
      <c r="G22" s="62" t="str">
        <f t="shared" si="1"/>
        <v/>
      </c>
      <c r="H22" s="186"/>
      <c r="I22" s="186"/>
      <c r="J22" s="150"/>
      <c r="K22" s="182" t="str">
        <f t="shared" si="2"/>
        <v/>
      </c>
      <c r="L22" s="182" t="str">
        <f t="shared" si="3"/>
        <v/>
      </c>
      <c r="M22" s="182" t="str">
        <f t="shared" si="4"/>
        <v/>
      </c>
      <c r="N22" s="182" t="str">
        <f t="shared" si="5"/>
        <v/>
      </c>
      <c r="O22" s="182" t="str">
        <f t="shared" si="6"/>
        <v/>
      </c>
      <c r="P22" s="182" t="str">
        <f t="shared" si="7"/>
        <v/>
      </c>
      <c r="Q22" s="203"/>
      <c r="R22" s="204"/>
      <c r="S22" s="38"/>
      <c r="T22" s="34"/>
      <c r="U22" s="188"/>
      <c r="V22" s="195"/>
      <c r="W22" s="195"/>
      <c r="X22" s="191"/>
      <c r="Y22" s="31"/>
      <c r="Z22" s="197"/>
      <c r="AA22" s="191"/>
      <c r="AB22" s="194"/>
      <c r="AC22" s="188"/>
      <c r="AD22" s="195"/>
      <c r="AE22" s="195"/>
      <c r="AF22" s="191"/>
      <c r="AG22" s="195"/>
      <c r="AH22" s="197"/>
      <c r="AI22" s="191"/>
      <c r="AJ22" s="194"/>
    </row>
    <row r="23" spans="1:36" ht="15.75" x14ac:dyDescent="0.25">
      <c r="A23" s="119"/>
      <c r="B23" s="181">
        <v>14</v>
      </c>
      <c r="C23" s="181" t="str">
        <f t="shared" si="8"/>
        <v/>
      </c>
      <c r="D23" s="130" t="str">
        <f t="shared" si="9"/>
        <v/>
      </c>
      <c r="E23" s="129"/>
      <c r="F23" s="121" t="str">
        <f t="shared" si="0"/>
        <v/>
      </c>
      <c r="G23" s="62" t="str">
        <f t="shared" si="1"/>
        <v/>
      </c>
      <c r="H23" s="186"/>
      <c r="I23" s="186"/>
      <c r="J23" s="150"/>
      <c r="K23" s="182" t="str">
        <f t="shared" si="2"/>
        <v/>
      </c>
      <c r="L23" s="182" t="str">
        <f t="shared" si="3"/>
        <v/>
      </c>
      <c r="M23" s="182" t="str">
        <f t="shared" si="4"/>
        <v/>
      </c>
      <c r="N23" s="182" t="str">
        <f t="shared" si="5"/>
        <v/>
      </c>
      <c r="O23" s="182" t="str">
        <f t="shared" si="6"/>
        <v/>
      </c>
      <c r="P23" s="182" t="str">
        <f t="shared" si="7"/>
        <v/>
      </c>
      <c r="Q23" s="203"/>
      <c r="R23" s="204"/>
      <c r="S23" s="38"/>
      <c r="T23" s="34"/>
      <c r="U23" s="188"/>
      <c r="V23" s="195"/>
      <c r="W23" s="195"/>
      <c r="X23" s="191"/>
      <c r="Y23" s="31"/>
      <c r="Z23" s="197"/>
      <c r="AA23" s="191"/>
      <c r="AB23" s="194"/>
      <c r="AC23" s="188"/>
      <c r="AD23" s="195"/>
      <c r="AE23" s="195"/>
      <c r="AF23" s="191"/>
      <c r="AG23" s="195"/>
      <c r="AH23" s="197"/>
      <c r="AI23" s="191"/>
      <c r="AJ23" s="194"/>
    </row>
    <row r="24" spans="1:36" ht="15.75" x14ac:dyDescent="0.25">
      <c r="A24" s="119"/>
      <c r="B24" s="205">
        <v>15</v>
      </c>
      <c r="C24" s="181" t="str">
        <f t="shared" si="8"/>
        <v/>
      </c>
      <c r="D24" s="130" t="str">
        <f t="shared" si="9"/>
        <v/>
      </c>
      <c r="E24" s="129"/>
      <c r="F24" s="121" t="str">
        <f t="shared" si="0"/>
        <v/>
      </c>
      <c r="G24" s="62" t="str">
        <f t="shared" si="1"/>
        <v/>
      </c>
      <c r="H24" s="186"/>
      <c r="I24" s="186"/>
      <c r="J24" s="150"/>
      <c r="K24" s="182" t="str">
        <f t="shared" si="2"/>
        <v/>
      </c>
      <c r="L24" s="182" t="str">
        <f t="shared" si="3"/>
        <v/>
      </c>
      <c r="M24" s="182" t="str">
        <f t="shared" si="4"/>
        <v/>
      </c>
      <c r="N24" s="182" t="str">
        <f t="shared" si="5"/>
        <v/>
      </c>
      <c r="O24" s="182" t="str">
        <f t="shared" si="6"/>
        <v/>
      </c>
      <c r="P24" s="182" t="str">
        <f t="shared" si="7"/>
        <v/>
      </c>
      <c r="Q24" s="203"/>
      <c r="R24" s="204"/>
      <c r="S24" s="169"/>
      <c r="T24" s="34"/>
      <c r="U24" s="188"/>
      <c r="V24" s="195"/>
      <c r="W24" s="195"/>
      <c r="X24" s="191"/>
      <c r="Y24" s="31"/>
      <c r="Z24" s="197"/>
      <c r="AA24" s="191"/>
      <c r="AB24" s="194"/>
      <c r="AC24" s="188"/>
      <c r="AD24" s="195"/>
      <c r="AE24" s="195"/>
      <c r="AF24" s="191"/>
      <c r="AG24" s="195"/>
      <c r="AH24" s="197"/>
      <c r="AI24" s="191"/>
      <c r="AJ24" s="194"/>
    </row>
    <row r="25" spans="1:36" ht="15.75" x14ac:dyDescent="0.25">
      <c r="A25" s="119"/>
      <c r="B25" s="181">
        <v>16</v>
      </c>
      <c r="C25" s="181" t="str">
        <f t="shared" si="8"/>
        <v/>
      </c>
      <c r="D25" s="130" t="str">
        <f t="shared" si="9"/>
        <v/>
      </c>
      <c r="E25" s="129"/>
      <c r="F25" s="121" t="str">
        <f t="shared" si="0"/>
        <v/>
      </c>
      <c r="G25" s="62" t="str">
        <f t="shared" si="1"/>
        <v/>
      </c>
      <c r="H25" s="186"/>
      <c r="I25" s="186"/>
      <c r="J25" s="150"/>
      <c r="K25" s="182" t="str">
        <f t="shared" si="2"/>
        <v/>
      </c>
      <c r="L25" s="182" t="str">
        <f t="shared" si="3"/>
        <v/>
      </c>
      <c r="M25" s="182" t="str">
        <f t="shared" si="4"/>
        <v/>
      </c>
      <c r="N25" s="182" t="str">
        <f t="shared" si="5"/>
        <v/>
      </c>
      <c r="O25" s="182" t="str">
        <f t="shared" si="6"/>
        <v/>
      </c>
      <c r="P25" s="182" t="str">
        <f t="shared" si="7"/>
        <v/>
      </c>
      <c r="Q25" s="203"/>
      <c r="R25" s="204"/>
      <c r="S25" s="38"/>
      <c r="T25" s="34"/>
      <c r="U25" s="188"/>
      <c r="V25" s="195"/>
      <c r="W25" s="195"/>
      <c r="X25" s="191"/>
      <c r="Y25" s="31"/>
      <c r="Z25" s="197"/>
      <c r="AA25" s="191"/>
      <c r="AB25" s="194"/>
      <c r="AC25" s="188"/>
      <c r="AD25" s="195"/>
      <c r="AE25" s="195"/>
      <c r="AF25" s="191"/>
      <c r="AG25" s="195"/>
      <c r="AH25" s="197"/>
      <c r="AI25" s="191"/>
      <c r="AJ25" s="194"/>
    </row>
    <row r="26" spans="1:36" ht="15.75" x14ac:dyDescent="0.25">
      <c r="A26" s="119"/>
      <c r="B26" s="205">
        <v>17</v>
      </c>
      <c r="C26" s="181" t="str">
        <f t="shared" si="8"/>
        <v/>
      </c>
      <c r="D26" s="130" t="str">
        <f t="shared" si="9"/>
        <v/>
      </c>
      <c r="E26" s="129"/>
      <c r="F26" s="121" t="str">
        <f t="shared" si="0"/>
        <v/>
      </c>
      <c r="G26" s="62" t="str">
        <f t="shared" si="1"/>
        <v/>
      </c>
      <c r="H26" s="186"/>
      <c r="I26" s="186"/>
      <c r="J26" s="150"/>
      <c r="K26" s="182" t="str">
        <f t="shared" si="2"/>
        <v/>
      </c>
      <c r="L26" s="182" t="str">
        <f t="shared" si="3"/>
        <v/>
      </c>
      <c r="M26" s="182" t="str">
        <f t="shared" si="4"/>
        <v/>
      </c>
      <c r="N26" s="182" t="str">
        <f t="shared" si="5"/>
        <v/>
      </c>
      <c r="O26" s="182" t="str">
        <f t="shared" si="6"/>
        <v/>
      </c>
      <c r="P26" s="182" t="str">
        <f t="shared" si="7"/>
        <v/>
      </c>
      <c r="Q26" s="203"/>
      <c r="R26" s="204"/>
      <c r="S26" s="38"/>
      <c r="T26" s="34"/>
      <c r="U26" s="188"/>
      <c r="V26" s="195"/>
      <c r="W26" s="195"/>
      <c r="X26" s="191"/>
      <c r="Y26" s="31"/>
      <c r="Z26" s="197"/>
      <c r="AA26" s="191"/>
      <c r="AB26" s="194"/>
      <c r="AC26" s="188"/>
      <c r="AD26" s="195"/>
      <c r="AE26" s="195"/>
      <c r="AF26" s="191"/>
      <c r="AG26" s="195"/>
      <c r="AH26" s="197"/>
      <c r="AI26" s="191"/>
      <c r="AJ26" s="194"/>
    </row>
    <row r="27" spans="1:36" ht="15.75" x14ac:dyDescent="0.25">
      <c r="A27" s="119"/>
      <c r="B27" s="181">
        <v>18</v>
      </c>
      <c r="C27" s="181" t="str">
        <f t="shared" si="8"/>
        <v/>
      </c>
      <c r="D27" s="130" t="str">
        <f t="shared" si="9"/>
        <v/>
      </c>
      <c r="E27" s="129"/>
      <c r="F27" s="121" t="str">
        <f t="shared" si="0"/>
        <v/>
      </c>
      <c r="G27" s="62" t="str">
        <f t="shared" si="1"/>
        <v/>
      </c>
      <c r="H27" s="186"/>
      <c r="I27" s="186"/>
      <c r="J27" s="150"/>
      <c r="K27" s="182" t="str">
        <f t="shared" si="2"/>
        <v/>
      </c>
      <c r="L27" s="182" t="str">
        <f t="shared" si="3"/>
        <v/>
      </c>
      <c r="M27" s="182" t="str">
        <f t="shared" si="4"/>
        <v/>
      </c>
      <c r="N27" s="182" t="str">
        <f t="shared" si="5"/>
        <v/>
      </c>
      <c r="O27" s="182" t="str">
        <f t="shared" si="6"/>
        <v/>
      </c>
      <c r="P27" s="182" t="str">
        <f t="shared" si="7"/>
        <v/>
      </c>
      <c r="Q27" s="203"/>
      <c r="R27" s="204"/>
      <c r="S27" s="38"/>
      <c r="T27" s="34"/>
      <c r="U27" s="188"/>
      <c r="V27" s="195"/>
      <c r="W27" s="195"/>
      <c r="X27" s="191"/>
      <c r="Y27" s="31"/>
      <c r="Z27" s="197"/>
      <c r="AA27" s="191"/>
      <c r="AB27" s="194"/>
      <c r="AC27" s="188"/>
      <c r="AD27" s="195"/>
      <c r="AE27" s="195"/>
      <c r="AF27" s="191"/>
      <c r="AG27" s="195"/>
      <c r="AH27" s="197"/>
      <c r="AI27" s="191"/>
      <c r="AJ27" s="194"/>
    </row>
    <row r="28" spans="1:36" ht="15.75" x14ac:dyDescent="0.25">
      <c r="A28" s="119"/>
      <c r="B28" s="205">
        <v>19</v>
      </c>
      <c r="C28" s="181" t="str">
        <f t="shared" si="8"/>
        <v/>
      </c>
      <c r="D28" s="130" t="str">
        <f t="shared" si="9"/>
        <v/>
      </c>
      <c r="E28" s="129"/>
      <c r="F28" s="121" t="str">
        <f t="shared" si="0"/>
        <v/>
      </c>
      <c r="G28" s="62" t="str">
        <f t="shared" si="1"/>
        <v/>
      </c>
      <c r="H28" s="186"/>
      <c r="I28" s="186"/>
      <c r="J28" s="150"/>
      <c r="K28" s="182" t="str">
        <f t="shared" si="2"/>
        <v/>
      </c>
      <c r="L28" s="182" t="str">
        <f t="shared" si="3"/>
        <v/>
      </c>
      <c r="M28" s="182" t="str">
        <f t="shared" si="4"/>
        <v/>
      </c>
      <c r="N28" s="182" t="str">
        <f t="shared" si="5"/>
        <v/>
      </c>
      <c r="O28" s="182" t="str">
        <f t="shared" si="6"/>
        <v/>
      </c>
      <c r="P28" s="182" t="str">
        <f t="shared" si="7"/>
        <v/>
      </c>
      <c r="Q28" s="203"/>
      <c r="R28" s="204"/>
      <c r="S28" s="38"/>
      <c r="T28" s="34"/>
      <c r="U28" s="188"/>
      <c r="V28" s="195"/>
      <c r="W28" s="195"/>
      <c r="X28" s="191"/>
      <c r="Y28" s="31"/>
      <c r="Z28" s="197"/>
      <c r="AA28" s="191"/>
      <c r="AB28" s="194"/>
      <c r="AC28" s="188"/>
      <c r="AD28" s="195"/>
      <c r="AE28" s="195"/>
      <c r="AF28" s="191"/>
      <c r="AG28" s="195"/>
      <c r="AH28" s="197"/>
      <c r="AI28" s="191"/>
      <c r="AJ28" s="194"/>
    </row>
    <row r="29" spans="1:36" ht="15.75" x14ac:dyDescent="0.25">
      <c r="A29" s="119"/>
      <c r="B29" s="181">
        <v>20</v>
      </c>
      <c r="C29" s="181" t="str">
        <f t="shared" si="8"/>
        <v/>
      </c>
      <c r="D29" s="130" t="str">
        <f t="shared" si="9"/>
        <v/>
      </c>
      <c r="E29" s="129"/>
      <c r="F29" s="121" t="str">
        <f t="shared" si="0"/>
        <v/>
      </c>
      <c r="G29" s="62" t="str">
        <f t="shared" si="1"/>
        <v/>
      </c>
      <c r="H29" s="186"/>
      <c r="I29" s="186"/>
      <c r="J29" s="150"/>
      <c r="K29" s="182" t="str">
        <f t="shared" si="2"/>
        <v/>
      </c>
      <c r="L29" s="182" t="str">
        <f t="shared" si="3"/>
        <v/>
      </c>
      <c r="M29" s="182" t="str">
        <f t="shared" si="4"/>
        <v/>
      </c>
      <c r="N29" s="182" t="str">
        <f t="shared" si="5"/>
        <v/>
      </c>
      <c r="O29" s="182" t="str">
        <f t="shared" si="6"/>
        <v/>
      </c>
      <c r="P29" s="182" t="str">
        <f t="shared" si="7"/>
        <v/>
      </c>
      <c r="Q29" s="203"/>
      <c r="R29" s="204"/>
      <c r="S29" s="38"/>
      <c r="T29" s="34"/>
      <c r="U29" s="188"/>
      <c r="V29" s="195"/>
      <c r="W29" s="195"/>
      <c r="X29" s="191"/>
      <c r="Y29" s="31"/>
      <c r="Z29" s="197"/>
      <c r="AA29" s="191"/>
      <c r="AB29" s="194"/>
      <c r="AC29" s="188"/>
      <c r="AD29" s="195"/>
      <c r="AE29" s="195"/>
      <c r="AF29" s="191"/>
      <c r="AG29" s="195"/>
      <c r="AH29" s="197"/>
      <c r="AI29" s="191"/>
      <c r="AJ29" s="194"/>
    </row>
    <row r="30" spans="1:36" ht="15.75" x14ac:dyDescent="0.25">
      <c r="A30" s="119"/>
      <c r="B30" s="205">
        <v>21</v>
      </c>
      <c r="C30" s="181" t="str">
        <f t="shared" si="8"/>
        <v/>
      </c>
      <c r="D30" s="130" t="str">
        <f t="shared" si="9"/>
        <v/>
      </c>
      <c r="E30" s="129"/>
      <c r="F30" s="121" t="str">
        <f t="shared" si="0"/>
        <v/>
      </c>
      <c r="G30" s="62" t="str">
        <f t="shared" si="1"/>
        <v/>
      </c>
      <c r="H30" s="186"/>
      <c r="I30" s="186"/>
      <c r="J30" s="150"/>
      <c r="K30" s="182" t="str">
        <f t="shared" si="2"/>
        <v/>
      </c>
      <c r="L30" s="182" t="str">
        <f t="shared" si="3"/>
        <v/>
      </c>
      <c r="M30" s="182" t="str">
        <f t="shared" si="4"/>
        <v/>
      </c>
      <c r="N30" s="182" t="str">
        <f t="shared" si="5"/>
        <v/>
      </c>
      <c r="O30" s="182" t="str">
        <f t="shared" si="6"/>
        <v/>
      </c>
      <c r="P30" s="182" t="str">
        <f t="shared" si="7"/>
        <v/>
      </c>
      <c r="Q30" s="203"/>
      <c r="R30" s="204"/>
      <c r="S30" s="38"/>
      <c r="T30" s="34"/>
      <c r="U30" s="188"/>
      <c r="V30" s="195"/>
      <c r="W30" s="195"/>
      <c r="X30" s="191"/>
      <c r="Y30" s="31"/>
      <c r="Z30" s="197"/>
      <c r="AA30" s="191"/>
      <c r="AB30" s="194"/>
      <c r="AC30" s="188"/>
      <c r="AD30" s="195"/>
      <c r="AE30" s="195"/>
      <c r="AF30" s="191"/>
      <c r="AG30" s="195"/>
      <c r="AH30" s="197"/>
      <c r="AI30" s="191"/>
      <c r="AJ30" s="194"/>
    </row>
    <row r="31" spans="1:36" ht="15.75" x14ac:dyDescent="0.25">
      <c r="A31" s="119"/>
      <c r="B31" s="181">
        <v>22</v>
      </c>
      <c r="C31" s="181" t="str">
        <f t="shared" si="8"/>
        <v/>
      </c>
      <c r="D31" s="130" t="str">
        <f t="shared" si="9"/>
        <v/>
      </c>
      <c r="E31" s="129"/>
      <c r="F31" s="121" t="str">
        <f t="shared" si="0"/>
        <v/>
      </c>
      <c r="G31" s="62" t="str">
        <f t="shared" si="1"/>
        <v/>
      </c>
      <c r="H31" s="186"/>
      <c r="I31" s="186"/>
      <c r="J31" s="150"/>
      <c r="K31" s="182" t="str">
        <f t="shared" si="2"/>
        <v/>
      </c>
      <c r="L31" s="182" t="str">
        <f t="shared" si="3"/>
        <v/>
      </c>
      <c r="M31" s="182" t="str">
        <f t="shared" si="4"/>
        <v/>
      </c>
      <c r="N31" s="182" t="str">
        <f t="shared" si="5"/>
        <v/>
      </c>
      <c r="O31" s="182" t="str">
        <f t="shared" si="6"/>
        <v/>
      </c>
      <c r="P31" s="182" t="str">
        <f t="shared" si="7"/>
        <v/>
      </c>
      <c r="Q31" s="203"/>
      <c r="R31" s="204"/>
      <c r="S31" s="38"/>
      <c r="T31" s="34"/>
      <c r="U31" s="188"/>
      <c r="V31" s="195"/>
      <c r="W31" s="195"/>
      <c r="X31" s="191"/>
      <c r="Y31" s="31"/>
      <c r="Z31" s="197"/>
      <c r="AA31" s="191"/>
      <c r="AB31" s="194"/>
      <c r="AC31" s="188"/>
      <c r="AD31" s="195"/>
      <c r="AE31" s="195"/>
      <c r="AF31" s="191"/>
      <c r="AG31" s="195"/>
      <c r="AH31" s="197"/>
      <c r="AI31" s="191"/>
      <c r="AJ31" s="194"/>
    </row>
    <row r="32" spans="1:36" ht="15.75" x14ac:dyDescent="0.25">
      <c r="A32" s="119"/>
      <c r="B32" s="205">
        <v>23</v>
      </c>
      <c r="C32" s="181" t="str">
        <f t="shared" si="8"/>
        <v/>
      </c>
      <c r="D32" s="130" t="str">
        <f t="shared" si="9"/>
        <v/>
      </c>
      <c r="E32" s="129"/>
      <c r="F32" s="121" t="str">
        <f t="shared" si="0"/>
        <v/>
      </c>
      <c r="G32" s="62" t="str">
        <f t="shared" si="1"/>
        <v/>
      </c>
      <c r="H32" s="186"/>
      <c r="I32" s="186"/>
      <c r="J32" s="150"/>
      <c r="K32" s="182" t="str">
        <f t="shared" si="2"/>
        <v/>
      </c>
      <c r="L32" s="182" t="str">
        <f t="shared" si="3"/>
        <v/>
      </c>
      <c r="M32" s="182" t="str">
        <f t="shared" si="4"/>
        <v/>
      </c>
      <c r="N32" s="182" t="str">
        <f t="shared" si="5"/>
        <v/>
      </c>
      <c r="O32" s="182" t="str">
        <f t="shared" si="6"/>
        <v/>
      </c>
      <c r="P32" s="182" t="str">
        <f t="shared" si="7"/>
        <v/>
      </c>
      <c r="Q32" s="203"/>
      <c r="R32" s="204"/>
      <c r="S32" s="38"/>
      <c r="T32" s="34"/>
      <c r="U32" s="188"/>
      <c r="V32" s="195"/>
      <c r="W32" s="195"/>
      <c r="X32" s="191"/>
      <c r="Y32" s="31"/>
      <c r="Z32" s="197"/>
      <c r="AA32" s="191"/>
      <c r="AB32" s="194"/>
      <c r="AC32" s="188"/>
      <c r="AD32" s="195"/>
      <c r="AE32" s="195"/>
      <c r="AF32" s="191"/>
      <c r="AG32" s="195"/>
      <c r="AH32" s="197"/>
      <c r="AI32" s="191"/>
      <c r="AJ32" s="194"/>
    </row>
    <row r="33" spans="1:36" ht="15.75" x14ac:dyDescent="0.25">
      <c r="A33" s="119"/>
      <c r="B33" s="205">
        <v>24</v>
      </c>
      <c r="C33" s="181" t="str">
        <f t="shared" si="8"/>
        <v/>
      </c>
      <c r="D33" s="130" t="str">
        <f t="shared" si="9"/>
        <v/>
      </c>
      <c r="E33" s="129"/>
      <c r="F33" s="121" t="str">
        <f t="shared" si="0"/>
        <v/>
      </c>
      <c r="G33" s="62" t="str">
        <f t="shared" si="1"/>
        <v/>
      </c>
      <c r="H33" s="186"/>
      <c r="I33" s="186"/>
      <c r="J33" s="150"/>
      <c r="K33" s="182" t="str">
        <f t="shared" si="2"/>
        <v/>
      </c>
      <c r="L33" s="182" t="str">
        <f t="shared" si="3"/>
        <v/>
      </c>
      <c r="M33" s="182" t="str">
        <f t="shared" si="4"/>
        <v/>
      </c>
      <c r="N33" s="182" t="str">
        <f t="shared" si="5"/>
        <v/>
      </c>
      <c r="O33" s="182" t="str">
        <f t="shared" si="6"/>
        <v/>
      </c>
      <c r="P33" s="182" t="str">
        <f t="shared" si="7"/>
        <v/>
      </c>
      <c r="Q33" s="203"/>
      <c r="R33" s="204"/>
      <c r="S33" s="38"/>
      <c r="T33" s="34"/>
      <c r="U33" s="188"/>
      <c r="V33" s="195"/>
      <c r="W33" s="195"/>
      <c r="X33" s="191"/>
      <c r="Y33" s="31"/>
      <c r="Z33" s="197"/>
      <c r="AA33" s="191"/>
      <c r="AB33" s="194"/>
      <c r="AC33" s="188"/>
      <c r="AD33" s="195"/>
      <c r="AE33" s="195"/>
      <c r="AF33" s="191"/>
      <c r="AG33" s="195"/>
      <c r="AH33" s="197"/>
      <c r="AI33" s="191"/>
      <c r="AJ33" s="194"/>
    </row>
    <row r="34" spans="1:36" ht="15.75" x14ac:dyDescent="0.25">
      <c r="A34" s="119"/>
      <c r="B34" s="181">
        <v>25</v>
      </c>
      <c r="C34" s="181" t="str">
        <f t="shared" si="8"/>
        <v/>
      </c>
      <c r="D34" s="130" t="str">
        <f t="shared" si="9"/>
        <v/>
      </c>
      <c r="E34" s="129"/>
      <c r="F34" s="121" t="str">
        <f t="shared" si="0"/>
        <v/>
      </c>
      <c r="G34" s="62" t="str">
        <f t="shared" si="1"/>
        <v/>
      </c>
      <c r="H34" s="186"/>
      <c r="I34" s="186"/>
      <c r="J34" s="150"/>
      <c r="K34" s="182"/>
      <c r="L34" s="182"/>
      <c r="M34" s="182"/>
      <c r="N34" s="182"/>
      <c r="O34" s="182"/>
      <c r="P34" s="182"/>
      <c r="Q34" s="203"/>
      <c r="R34" s="204"/>
      <c r="S34" s="38"/>
      <c r="T34" s="34"/>
      <c r="U34" s="188"/>
      <c r="V34" s="195"/>
      <c r="W34" s="195"/>
      <c r="X34" s="191"/>
      <c r="Y34" s="31"/>
      <c r="Z34" s="197"/>
      <c r="AA34" s="191"/>
      <c r="AB34" s="194"/>
      <c r="AC34" s="188"/>
      <c r="AD34" s="195"/>
      <c r="AE34" s="195"/>
      <c r="AF34" s="191"/>
      <c r="AG34" s="195"/>
      <c r="AH34" s="197"/>
      <c r="AI34" s="191"/>
      <c r="AJ34" s="194"/>
    </row>
    <row r="35" spans="1:36" ht="15.75" x14ac:dyDescent="0.25">
      <c r="A35" s="119"/>
      <c r="B35" s="205">
        <v>26</v>
      </c>
      <c r="C35" s="181" t="str">
        <f t="shared" si="8"/>
        <v/>
      </c>
      <c r="D35" s="130" t="str">
        <f t="shared" si="9"/>
        <v/>
      </c>
      <c r="E35" s="129"/>
      <c r="F35" s="121" t="str">
        <f t="shared" si="0"/>
        <v/>
      </c>
      <c r="G35" s="62" t="str">
        <f t="shared" si="1"/>
        <v/>
      </c>
      <c r="H35" s="186"/>
      <c r="I35" s="186"/>
      <c r="J35" s="150"/>
      <c r="K35" s="182"/>
      <c r="L35" s="182"/>
      <c r="M35" s="182"/>
      <c r="N35" s="182"/>
      <c r="O35" s="182"/>
      <c r="P35" s="182"/>
      <c r="Q35" s="203"/>
      <c r="R35" s="204"/>
      <c r="S35" s="38"/>
      <c r="T35" s="34"/>
      <c r="U35" s="188"/>
      <c r="V35" s="195"/>
      <c r="W35" s="195"/>
      <c r="X35" s="191"/>
      <c r="Y35" s="31"/>
      <c r="Z35" s="197"/>
      <c r="AA35" s="191"/>
      <c r="AB35" s="194"/>
      <c r="AC35" s="188"/>
      <c r="AD35" s="195"/>
      <c r="AE35" s="195"/>
      <c r="AF35" s="191"/>
      <c r="AG35" s="195"/>
      <c r="AH35" s="197"/>
      <c r="AI35" s="191"/>
      <c r="AJ35" s="194"/>
    </row>
    <row r="36" spans="1:36" ht="15.75" x14ac:dyDescent="0.25">
      <c r="A36" s="119"/>
      <c r="B36" s="181">
        <v>27</v>
      </c>
      <c r="C36" s="181" t="str">
        <f t="shared" si="8"/>
        <v/>
      </c>
      <c r="D36" s="130" t="str">
        <f t="shared" si="9"/>
        <v/>
      </c>
      <c r="E36" s="129"/>
      <c r="F36" s="121" t="str">
        <f t="shared" si="0"/>
        <v/>
      </c>
      <c r="G36" s="62" t="str">
        <f t="shared" si="1"/>
        <v/>
      </c>
      <c r="H36" s="186"/>
      <c r="I36" s="186"/>
      <c r="J36" s="150"/>
      <c r="K36" s="182"/>
      <c r="L36" s="182"/>
      <c r="M36" s="182"/>
      <c r="N36" s="182"/>
      <c r="O36" s="182"/>
      <c r="P36" s="182"/>
      <c r="Q36" s="203"/>
      <c r="R36" s="204"/>
      <c r="S36" s="38"/>
      <c r="T36" s="34"/>
      <c r="U36" s="188"/>
      <c r="V36" s="195"/>
      <c r="W36" s="195"/>
      <c r="X36" s="191"/>
      <c r="Y36" s="31"/>
      <c r="Z36" s="197"/>
      <c r="AA36" s="191"/>
      <c r="AB36" s="194"/>
      <c r="AC36" s="188"/>
      <c r="AD36" s="195"/>
      <c r="AE36" s="195"/>
      <c r="AF36" s="191"/>
      <c r="AG36" s="195"/>
      <c r="AH36" s="197"/>
      <c r="AI36" s="191"/>
      <c r="AJ36" s="194"/>
    </row>
    <row r="37" spans="1:36" ht="15.75" x14ac:dyDescent="0.25">
      <c r="A37" s="119"/>
      <c r="B37" s="205">
        <v>28</v>
      </c>
      <c r="C37" s="181" t="str">
        <f t="shared" si="8"/>
        <v/>
      </c>
      <c r="D37" s="130" t="str">
        <f t="shared" si="9"/>
        <v/>
      </c>
      <c r="E37" s="129"/>
      <c r="F37" s="121" t="str">
        <f t="shared" si="0"/>
        <v/>
      </c>
      <c r="G37" s="62" t="str">
        <f t="shared" si="1"/>
        <v/>
      </c>
      <c r="H37" s="186"/>
      <c r="I37" s="186"/>
      <c r="J37" s="150"/>
      <c r="K37" s="182"/>
      <c r="L37" s="182"/>
      <c r="M37" s="182"/>
      <c r="N37" s="182"/>
      <c r="O37" s="182"/>
      <c r="P37" s="182"/>
      <c r="Q37" s="203"/>
      <c r="R37" s="204"/>
      <c r="S37" s="38"/>
      <c r="T37" s="34"/>
      <c r="U37" s="188"/>
      <c r="V37" s="195"/>
      <c r="W37" s="195"/>
      <c r="X37" s="191"/>
      <c r="Y37" s="31"/>
      <c r="Z37" s="197"/>
      <c r="AA37" s="191"/>
      <c r="AB37" s="194"/>
      <c r="AC37" s="188"/>
      <c r="AD37" s="195"/>
      <c r="AE37" s="195"/>
      <c r="AF37" s="191"/>
      <c r="AG37" s="195"/>
      <c r="AH37" s="197"/>
      <c r="AI37" s="191"/>
      <c r="AJ37" s="194"/>
    </row>
    <row r="38" spans="1:36" ht="15.75" x14ac:dyDescent="0.25">
      <c r="A38" s="119"/>
      <c r="B38" s="181">
        <v>29</v>
      </c>
      <c r="C38" s="181" t="str">
        <f t="shared" si="8"/>
        <v/>
      </c>
      <c r="D38" s="130" t="str">
        <f t="shared" si="9"/>
        <v/>
      </c>
      <c r="E38" s="129"/>
      <c r="F38" s="121" t="str">
        <f t="shared" si="0"/>
        <v/>
      </c>
      <c r="G38" s="62" t="str">
        <f t="shared" si="1"/>
        <v/>
      </c>
      <c r="H38" s="186"/>
      <c r="I38" s="186"/>
      <c r="J38" s="150"/>
      <c r="K38" s="182"/>
      <c r="L38" s="182"/>
      <c r="M38" s="182"/>
      <c r="N38" s="182"/>
      <c r="O38" s="182"/>
      <c r="P38" s="182"/>
      <c r="Q38" s="203"/>
      <c r="R38" s="204"/>
      <c r="S38" s="38"/>
      <c r="T38" s="34"/>
      <c r="U38" s="188"/>
      <c r="V38" s="195"/>
      <c r="W38" s="195"/>
      <c r="X38" s="191"/>
      <c r="Y38" s="31"/>
      <c r="Z38" s="197"/>
      <c r="AA38" s="191"/>
      <c r="AB38" s="194"/>
      <c r="AC38" s="188"/>
      <c r="AD38" s="195"/>
      <c r="AE38" s="195"/>
      <c r="AF38" s="191"/>
      <c r="AG38" s="195"/>
      <c r="AH38" s="197"/>
      <c r="AI38" s="191"/>
      <c r="AJ38" s="194"/>
    </row>
    <row r="39" spans="1:36" ht="15.75" x14ac:dyDescent="0.25">
      <c r="A39" s="119"/>
      <c r="B39" s="205">
        <v>30</v>
      </c>
      <c r="C39" s="181" t="str">
        <f t="shared" si="8"/>
        <v/>
      </c>
      <c r="D39" s="130" t="str">
        <f t="shared" si="9"/>
        <v/>
      </c>
      <c r="E39" s="129"/>
      <c r="F39" s="121" t="str">
        <f t="shared" si="0"/>
        <v/>
      </c>
      <c r="G39" s="62" t="str">
        <f t="shared" si="1"/>
        <v/>
      </c>
      <c r="H39" s="186"/>
      <c r="I39" s="186"/>
      <c r="J39" s="150"/>
      <c r="K39" s="182"/>
      <c r="L39" s="182"/>
      <c r="M39" s="182"/>
      <c r="N39" s="182"/>
      <c r="O39" s="182"/>
      <c r="P39" s="182"/>
      <c r="Q39" s="203"/>
      <c r="R39" s="204"/>
      <c r="S39" s="38"/>
      <c r="T39" s="34"/>
      <c r="U39" s="188"/>
      <c r="V39" s="195"/>
      <c r="W39" s="195"/>
      <c r="X39" s="191"/>
      <c r="Y39" s="31"/>
      <c r="Z39" s="197"/>
      <c r="AA39" s="191"/>
      <c r="AB39" s="194"/>
      <c r="AC39" s="188"/>
      <c r="AD39" s="195"/>
      <c r="AE39" s="195"/>
      <c r="AF39" s="191"/>
      <c r="AG39" s="195"/>
      <c r="AH39" s="197"/>
      <c r="AI39" s="191"/>
      <c r="AJ39" s="194"/>
    </row>
    <row r="40" spans="1:36" ht="15.75" x14ac:dyDescent="0.25">
      <c r="A40" s="119"/>
      <c r="B40" s="181">
        <v>31</v>
      </c>
      <c r="C40" s="181" t="str">
        <f t="shared" si="8"/>
        <v/>
      </c>
      <c r="D40" s="130" t="str">
        <f t="shared" si="9"/>
        <v/>
      </c>
      <c r="E40" s="129"/>
      <c r="F40" s="121" t="str">
        <f t="shared" si="0"/>
        <v/>
      </c>
      <c r="G40" s="62" t="str">
        <f t="shared" si="1"/>
        <v/>
      </c>
      <c r="H40" s="186"/>
      <c r="I40" s="186"/>
      <c r="J40" s="150"/>
      <c r="K40" s="182"/>
      <c r="L40" s="182"/>
      <c r="M40" s="182"/>
      <c r="N40" s="182"/>
      <c r="O40" s="182"/>
      <c r="P40" s="182"/>
      <c r="Q40" s="203"/>
      <c r="R40" s="204"/>
      <c r="S40" s="38"/>
      <c r="T40" s="34"/>
      <c r="U40" s="188"/>
      <c r="V40" s="195"/>
      <c r="W40" s="195"/>
      <c r="X40" s="191"/>
      <c r="Y40" s="31"/>
      <c r="Z40" s="197"/>
      <c r="AA40" s="191"/>
      <c r="AB40" s="194"/>
      <c r="AC40" s="188"/>
      <c r="AD40" s="195"/>
      <c r="AE40" s="195"/>
      <c r="AF40" s="191"/>
      <c r="AG40" s="195"/>
      <c r="AH40" s="197"/>
      <c r="AI40" s="191"/>
      <c r="AJ40" s="194"/>
    </row>
    <row r="41" spans="1:36" ht="15.75" x14ac:dyDescent="0.25">
      <c r="A41" s="119"/>
      <c r="B41" s="205">
        <v>32</v>
      </c>
      <c r="C41" s="181" t="str">
        <f t="shared" si="8"/>
        <v/>
      </c>
      <c r="D41" s="130" t="str">
        <f t="shared" si="9"/>
        <v/>
      </c>
      <c r="E41" s="129"/>
      <c r="F41" s="121" t="str">
        <f t="shared" si="0"/>
        <v/>
      </c>
      <c r="G41" s="62" t="str">
        <f t="shared" si="1"/>
        <v/>
      </c>
      <c r="H41" s="186"/>
      <c r="I41" s="186"/>
      <c r="J41" s="150"/>
      <c r="K41" s="182"/>
      <c r="L41" s="182"/>
      <c r="M41" s="182"/>
      <c r="N41" s="182"/>
      <c r="O41" s="182"/>
      <c r="P41" s="182"/>
      <c r="Q41" s="203"/>
      <c r="R41" s="204"/>
      <c r="S41" s="38"/>
      <c r="T41" s="34"/>
      <c r="U41" s="188"/>
      <c r="V41" s="195"/>
      <c r="W41" s="195"/>
      <c r="X41" s="191"/>
      <c r="Y41" s="31"/>
      <c r="Z41" s="197"/>
      <c r="AA41" s="191"/>
      <c r="AB41" s="194"/>
      <c r="AC41" s="188"/>
      <c r="AD41" s="195"/>
      <c r="AE41" s="195"/>
      <c r="AF41" s="191"/>
      <c r="AG41" s="195"/>
      <c r="AH41" s="197"/>
      <c r="AI41" s="191"/>
      <c r="AJ41" s="194"/>
    </row>
    <row r="42" spans="1:36" ht="15.75" x14ac:dyDescent="0.25">
      <c r="A42" s="119"/>
      <c r="B42" s="205">
        <v>33</v>
      </c>
      <c r="C42" s="181" t="str">
        <f t="shared" si="8"/>
        <v/>
      </c>
      <c r="D42" s="130" t="str">
        <f t="shared" si="9"/>
        <v/>
      </c>
      <c r="E42" s="129"/>
      <c r="F42" s="121" t="str">
        <f t="shared" si="0"/>
        <v/>
      </c>
      <c r="G42" s="62" t="str">
        <f t="shared" si="1"/>
        <v/>
      </c>
      <c r="H42" s="186"/>
      <c r="I42" s="186"/>
      <c r="J42" s="150"/>
      <c r="K42" s="182"/>
      <c r="L42" s="182"/>
      <c r="M42" s="182"/>
      <c r="N42" s="182"/>
      <c r="O42" s="182"/>
      <c r="P42" s="182"/>
      <c r="Q42" s="203"/>
      <c r="R42" s="204"/>
      <c r="S42" s="38"/>
      <c r="T42" s="34"/>
      <c r="U42" s="188"/>
      <c r="V42" s="195"/>
      <c r="W42" s="195"/>
      <c r="X42" s="191"/>
      <c r="Y42" s="31"/>
      <c r="Z42" s="197"/>
      <c r="AA42" s="191"/>
      <c r="AB42" s="194"/>
      <c r="AC42" s="188"/>
      <c r="AD42" s="195"/>
      <c r="AE42" s="195"/>
      <c r="AF42" s="191"/>
      <c r="AG42" s="195"/>
      <c r="AH42" s="197"/>
      <c r="AI42" s="191"/>
      <c r="AJ42" s="194"/>
    </row>
    <row r="43" spans="1:36" ht="15.75" x14ac:dyDescent="0.25">
      <c r="A43" s="119"/>
      <c r="B43" s="181">
        <v>34</v>
      </c>
      <c r="C43" s="181" t="str">
        <f t="shared" si="8"/>
        <v/>
      </c>
      <c r="D43" s="130" t="str">
        <f t="shared" si="9"/>
        <v/>
      </c>
      <c r="E43" s="129"/>
      <c r="F43" s="121" t="str">
        <f t="shared" si="0"/>
        <v/>
      </c>
      <c r="G43" s="62" t="str">
        <f t="shared" si="1"/>
        <v/>
      </c>
      <c r="H43" s="186"/>
      <c r="I43" s="186"/>
      <c r="J43" s="150"/>
      <c r="K43" s="182"/>
      <c r="L43" s="182"/>
      <c r="M43" s="182"/>
      <c r="N43" s="182"/>
      <c r="O43" s="182"/>
      <c r="P43" s="182"/>
      <c r="Q43" s="203"/>
      <c r="R43" s="204"/>
      <c r="S43" s="38"/>
      <c r="T43" s="34"/>
      <c r="U43" s="188"/>
      <c r="V43" s="195"/>
      <c r="W43" s="195"/>
      <c r="X43" s="191"/>
      <c r="Y43" s="31"/>
      <c r="Z43" s="197"/>
      <c r="AA43" s="191"/>
      <c r="AB43" s="194"/>
      <c r="AC43" s="188"/>
      <c r="AD43" s="195"/>
      <c r="AE43" s="195"/>
      <c r="AF43" s="191"/>
      <c r="AG43" s="195"/>
      <c r="AH43" s="197"/>
      <c r="AI43" s="191"/>
      <c r="AJ43" s="194"/>
    </row>
    <row r="44" spans="1:36" ht="15.75" x14ac:dyDescent="0.25">
      <c r="A44" s="119"/>
      <c r="B44" s="205">
        <v>35</v>
      </c>
      <c r="C44" s="181" t="str">
        <f t="shared" si="8"/>
        <v/>
      </c>
      <c r="D44" s="130" t="str">
        <f t="shared" si="9"/>
        <v/>
      </c>
      <c r="E44" s="129"/>
      <c r="F44" s="121" t="str">
        <f t="shared" si="0"/>
        <v/>
      </c>
      <c r="G44" s="62" t="str">
        <f t="shared" si="1"/>
        <v/>
      </c>
      <c r="H44" s="186"/>
      <c r="I44" s="186"/>
      <c r="J44" s="150"/>
      <c r="K44" s="182"/>
      <c r="L44" s="182"/>
      <c r="M44" s="182"/>
      <c r="N44" s="182"/>
      <c r="O44" s="182"/>
      <c r="P44" s="182"/>
      <c r="Q44" s="203"/>
      <c r="R44" s="204"/>
      <c r="S44" s="38"/>
      <c r="T44" s="34"/>
      <c r="U44" s="188"/>
      <c r="V44" s="195"/>
      <c r="W44" s="195"/>
      <c r="X44" s="191"/>
      <c r="Y44" s="31"/>
      <c r="Z44" s="197"/>
      <c r="AA44" s="191"/>
      <c r="AB44" s="194"/>
      <c r="AC44" s="188"/>
      <c r="AD44" s="195"/>
      <c r="AE44" s="195"/>
      <c r="AF44" s="191"/>
      <c r="AG44" s="195"/>
      <c r="AH44" s="197"/>
      <c r="AI44" s="191"/>
      <c r="AJ44" s="194"/>
    </row>
    <row r="45" spans="1:36" ht="15.75" x14ac:dyDescent="0.25">
      <c r="A45" s="119"/>
      <c r="B45" s="181">
        <v>36</v>
      </c>
      <c r="C45" s="181" t="str">
        <f t="shared" si="8"/>
        <v/>
      </c>
      <c r="D45" s="130" t="str">
        <f t="shared" si="9"/>
        <v/>
      </c>
      <c r="E45" s="129"/>
      <c r="F45" s="121" t="str">
        <f t="shared" si="0"/>
        <v/>
      </c>
      <c r="G45" s="62" t="str">
        <f t="shared" si="1"/>
        <v/>
      </c>
      <c r="H45" s="186"/>
      <c r="I45" s="186"/>
      <c r="J45" s="150"/>
      <c r="K45" s="182"/>
      <c r="L45" s="182"/>
      <c r="M45" s="182"/>
      <c r="N45" s="182"/>
      <c r="O45" s="182"/>
      <c r="P45" s="182"/>
      <c r="Q45" s="203"/>
      <c r="R45" s="204"/>
      <c r="S45" s="38"/>
      <c r="T45" s="34"/>
      <c r="U45" s="188"/>
      <c r="V45" s="195"/>
      <c r="W45" s="195"/>
      <c r="X45" s="191"/>
      <c r="Y45" s="31"/>
      <c r="Z45" s="197"/>
      <c r="AA45" s="191"/>
      <c r="AB45" s="194"/>
      <c r="AC45" s="188"/>
      <c r="AD45" s="195"/>
      <c r="AE45" s="195"/>
      <c r="AF45" s="191"/>
      <c r="AG45" s="195"/>
      <c r="AH45" s="197"/>
      <c r="AI45" s="191"/>
      <c r="AJ45" s="194"/>
    </row>
    <row r="46" spans="1:36" ht="15.75" x14ac:dyDescent="0.25">
      <c r="A46" s="119"/>
      <c r="B46" s="205">
        <v>37</v>
      </c>
      <c r="C46" s="181" t="str">
        <f t="shared" si="8"/>
        <v/>
      </c>
      <c r="D46" s="130" t="str">
        <f t="shared" si="9"/>
        <v/>
      </c>
      <c r="E46" s="129"/>
      <c r="F46" s="121" t="str">
        <f t="shared" si="0"/>
        <v/>
      </c>
      <c r="G46" s="62" t="str">
        <f t="shared" si="1"/>
        <v/>
      </c>
      <c r="H46" s="186"/>
      <c r="I46" s="186"/>
      <c r="J46" s="150"/>
      <c r="K46" s="182"/>
      <c r="L46" s="182"/>
      <c r="M46" s="182"/>
      <c r="N46" s="182"/>
      <c r="O46" s="182"/>
      <c r="P46" s="182"/>
      <c r="Q46" s="203"/>
      <c r="R46" s="204"/>
      <c r="S46" s="38"/>
      <c r="T46" s="34"/>
      <c r="U46" s="188"/>
      <c r="V46" s="195"/>
      <c r="W46" s="195"/>
      <c r="X46" s="191"/>
      <c r="Y46" s="31"/>
      <c r="Z46" s="197"/>
      <c r="AA46" s="191"/>
      <c r="AB46" s="194"/>
      <c r="AC46" s="188"/>
      <c r="AD46" s="195"/>
      <c r="AE46" s="195"/>
      <c r="AF46" s="191"/>
      <c r="AG46" s="195"/>
      <c r="AH46" s="197"/>
      <c r="AI46" s="191"/>
      <c r="AJ46" s="194"/>
    </row>
    <row r="47" spans="1:36" ht="15.75" x14ac:dyDescent="0.25">
      <c r="A47" s="119"/>
      <c r="B47" s="181">
        <v>38</v>
      </c>
      <c r="C47" s="181" t="str">
        <f t="shared" si="8"/>
        <v/>
      </c>
      <c r="D47" s="130" t="str">
        <f t="shared" si="9"/>
        <v/>
      </c>
      <c r="E47" s="129"/>
      <c r="F47" s="121" t="str">
        <f t="shared" si="0"/>
        <v/>
      </c>
      <c r="G47" s="62" t="str">
        <f t="shared" si="1"/>
        <v/>
      </c>
      <c r="H47" s="186"/>
      <c r="I47" s="186"/>
      <c r="J47" s="150"/>
      <c r="K47" s="182"/>
      <c r="L47" s="182"/>
      <c r="M47" s="182"/>
      <c r="N47" s="182"/>
      <c r="O47" s="182"/>
      <c r="P47" s="182"/>
      <c r="Q47" s="203"/>
      <c r="R47" s="204"/>
      <c r="S47" s="38"/>
      <c r="T47" s="34"/>
      <c r="U47" s="188"/>
      <c r="V47" s="195"/>
      <c r="W47" s="195"/>
      <c r="X47" s="191"/>
      <c r="Y47" s="31"/>
      <c r="Z47" s="197"/>
      <c r="AA47" s="191"/>
      <c r="AB47" s="194"/>
      <c r="AC47" s="188"/>
      <c r="AD47" s="195"/>
      <c r="AE47" s="195"/>
      <c r="AF47" s="191"/>
      <c r="AG47" s="195"/>
      <c r="AH47" s="197"/>
      <c r="AI47" s="191"/>
      <c r="AJ47" s="194"/>
    </row>
    <row r="48" spans="1:36" ht="15.75" x14ac:dyDescent="0.25">
      <c r="A48" s="119"/>
      <c r="B48" s="205">
        <v>39</v>
      </c>
      <c r="C48" s="181" t="str">
        <f t="shared" si="8"/>
        <v/>
      </c>
      <c r="D48" s="130" t="str">
        <f t="shared" si="9"/>
        <v/>
      </c>
      <c r="E48" s="129"/>
      <c r="F48" s="121" t="str">
        <f t="shared" si="0"/>
        <v/>
      </c>
      <c r="G48" s="62" t="str">
        <f t="shared" si="1"/>
        <v/>
      </c>
      <c r="H48" s="186"/>
      <c r="I48" s="186"/>
      <c r="J48" s="150"/>
      <c r="K48" s="182"/>
      <c r="L48" s="182"/>
      <c r="M48" s="182"/>
      <c r="N48" s="182"/>
      <c r="O48" s="182"/>
      <c r="P48" s="182"/>
      <c r="Q48" s="203"/>
      <c r="R48" s="204"/>
      <c r="S48" s="38"/>
      <c r="T48" s="34"/>
      <c r="U48" s="188"/>
      <c r="V48" s="195"/>
      <c r="W48" s="195"/>
      <c r="X48" s="191"/>
      <c r="Y48" s="31"/>
      <c r="Z48" s="197"/>
      <c r="AA48" s="191"/>
      <c r="AB48" s="194"/>
      <c r="AC48" s="188"/>
      <c r="AD48" s="195"/>
      <c r="AE48" s="195"/>
      <c r="AF48" s="191"/>
      <c r="AG48" s="195"/>
      <c r="AH48" s="197"/>
      <c r="AI48" s="191"/>
      <c r="AJ48" s="194"/>
    </row>
    <row r="49" spans="1:36" ht="15.75" x14ac:dyDescent="0.25">
      <c r="A49" s="119"/>
      <c r="B49" s="181">
        <v>40</v>
      </c>
      <c r="C49" s="181" t="str">
        <f t="shared" si="8"/>
        <v/>
      </c>
      <c r="D49" s="130" t="str">
        <f t="shared" si="9"/>
        <v/>
      </c>
      <c r="E49" s="129"/>
      <c r="F49" s="121" t="str">
        <f t="shared" si="0"/>
        <v/>
      </c>
      <c r="G49" s="62" t="str">
        <f t="shared" si="1"/>
        <v/>
      </c>
      <c r="H49" s="186"/>
      <c r="I49" s="186"/>
      <c r="J49" s="150"/>
      <c r="K49" s="182" t="str">
        <f t="shared" si="2"/>
        <v/>
      </c>
      <c r="L49" s="182" t="str">
        <f t="shared" si="3"/>
        <v/>
      </c>
      <c r="M49" s="182" t="str">
        <f t="shared" si="4"/>
        <v/>
      </c>
      <c r="N49" s="182" t="str">
        <f t="shared" si="5"/>
        <v/>
      </c>
      <c r="O49" s="182" t="str">
        <f t="shared" si="6"/>
        <v/>
      </c>
      <c r="P49" s="182" t="str">
        <f t="shared" si="7"/>
        <v/>
      </c>
      <c r="Q49" s="203"/>
      <c r="R49" s="204"/>
      <c r="S49" s="38"/>
      <c r="T49" s="34"/>
      <c r="U49" s="188"/>
      <c r="V49" s="195"/>
      <c r="W49" s="195"/>
      <c r="X49" s="191"/>
      <c r="Y49" s="31"/>
      <c r="Z49" s="197"/>
      <c r="AA49" s="191"/>
      <c r="AB49" s="194"/>
      <c r="AC49" s="188"/>
      <c r="AD49" s="195"/>
      <c r="AE49" s="195"/>
      <c r="AF49" s="191"/>
      <c r="AG49" s="195"/>
      <c r="AH49" s="197"/>
      <c r="AI49" s="191"/>
      <c r="AJ49" s="194"/>
    </row>
    <row r="50" spans="1:36" ht="15.75" x14ac:dyDescent="0.25">
      <c r="A50" s="206"/>
      <c r="B50" s="181"/>
      <c r="C50" s="181"/>
      <c r="D50" s="207"/>
      <c r="E50" s="181"/>
      <c r="F50" s="181"/>
      <c r="G50" s="130"/>
      <c r="H50" s="204"/>
      <c r="Q50" s="203"/>
      <c r="R50" s="204"/>
      <c r="S50" s="38"/>
      <c r="T50" s="34"/>
      <c r="U50" s="188"/>
      <c r="V50" s="195"/>
      <c r="W50" s="195"/>
      <c r="X50" s="191"/>
      <c r="Y50" s="31"/>
      <c r="Z50" s="197"/>
      <c r="AA50" s="191"/>
      <c r="AB50" s="194"/>
      <c r="AC50" s="188"/>
      <c r="AD50" s="195"/>
      <c r="AE50" s="195"/>
      <c r="AF50" s="191"/>
      <c r="AG50" s="195"/>
      <c r="AH50" s="197"/>
      <c r="AI50" s="191"/>
      <c r="AJ50" s="194"/>
    </row>
    <row r="51" spans="1:36" ht="15.75" x14ac:dyDescent="0.25">
      <c r="A51" s="206"/>
      <c r="B51" s="181"/>
      <c r="C51" s="181"/>
      <c r="D51" s="207"/>
      <c r="F51" s="181"/>
      <c r="G51" s="130"/>
      <c r="H51" s="209"/>
      <c r="Q51" s="130"/>
      <c r="R51" s="209"/>
      <c r="S51" s="38"/>
      <c r="T51" s="34"/>
      <c r="U51" s="188"/>
      <c r="V51" s="195"/>
      <c r="W51" s="195"/>
      <c r="X51" s="191"/>
      <c r="Y51" s="31"/>
      <c r="Z51" s="197"/>
      <c r="AA51" s="191"/>
      <c r="AB51" s="194"/>
      <c r="AC51" s="188"/>
      <c r="AD51" s="195"/>
      <c r="AE51" s="195"/>
      <c r="AF51" s="191"/>
      <c r="AG51" s="195"/>
      <c r="AH51" s="197"/>
      <c r="AI51" s="191"/>
      <c r="AJ51" s="194"/>
    </row>
    <row r="52" spans="1:36" x14ac:dyDescent="0.2">
      <c r="A52" s="206"/>
      <c r="B52" s="195"/>
      <c r="C52" s="195"/>
      <c r="D52" s="188"/>
      <c r="E52" s="187" t="str">
        <f>IF(D10="","","YEAR TOTALS")</f>
        <v/>
      </c>
      <c r="F52" s="314" t="str">
        <f>IF(D10="","",SUM(F10:F49))</f>
        <v/>
      </c>
      <c r="G52" s="314" t="str">
        <f>IF(F52="","",SUM(G10:G50))</f>
        <v/>
      </c>
      <c r="H52" s="194"/>
      <c r="Q52" s="191"/>
      <c r="R52" s="194"/>
      <c r="S52" s="34"/>
      <c r="U52" s="188"/>
      <c r="V52" s="195"/>
      <c r="W52" s="195"/>
      <c r="X52" s="191"/>
      <c r="Y52" s="31"/>
      <c r="Z52" s="197"/>
      <c r="AA52" s="191"/>
      <c r="AB52" s="194"/>
      <c r="AC52" s="188"/>
      <c r="AD52" s="195"/>
      <c r="AE52" s="195"/>
      <c r="AF52" s="191"/>
      <c r="AG52" s="195"/>
      <c r="AH52" s="197"/>
      <c r="AI52" s="191"/>
      <c r="AJ52" s="194"/>
    </row>
    <row r="53" spans="1:36" ht="15.75" x14ac:dyDescent="0.25">
      <c r="A53" s="206"/>
      <c r="B53" s="210"/>
      <c r="C53" s="195"/>
      <c r="D53" s="188"/>
      <c r="E53" s="195"/>
      <c r="F53" s="195"/>
      <c r="G53" s="191"/>
      <c r="H53" s="194"/>
      <c r="K53" s="456" t="s">
        <v>327</v>
      </c>
      <c r="L53" s="204" t="s">
        <v>329</v>
      </c>
      <c r="M53" s="447" t="s">
        <v>278</v>
      </c>
      <c r="N53" s="448" t="s">
        <v>279</v>
      </c>
      <c r="O53" s="448" t="s">
        <v>280</v>
      </c>
      <c r="P53" s="449" t="s">
        <v>281</v>
      </c>
      <c r="Q53" s="449" t="s">
        <v>282</v>
      </c>
      <c r="R53" s="449" t="s">
        <v>283</v>
      </c>
      <c r="S53" s="34"/>
      <c r="T53" s="34"/>
      <c r="U53" s="188"/>
      <c r="V53" s="195"/>
      <c r="W53" s="195"/>
      <c r="X53" s="191"/>
      <c r="Y53" s="31"/>
      <c r="Z53" s="197"/>
      <c r="AA53" s="191"/>
      <c r="AB53" s="194"/>
      <c r="AC53" s="188"/>
      <c r="AD53" s="195"/>
      <c r="AE53" s="195"/>
      <c r="AF53" s="191"/>
      <c r="AG53" s="195"/>
      <c r="AH53" s="197"/>
      <c r="AI53" s="191"/>
      <c r="AJ53" s="194"/>
    </row>
    <row r="54" spans="1:36" x14ac:dyDescent="0.2">
      <c r="A54" s="206"/>
      <c r="B54" s="195"/>
      <c r="C54" s="195"/>
      <c r="D54" s="188"/>
      <c r="F54" s="195"/>
      <c r="G54" s="191"/>
      <c r="H54" s="194"/>
      <c r="K54" s="446"/>
      <c r="L54" s="150"/>
      <c r="M54" s="450" t="str">
        <f>IF(ISNUMBER(MATCH(M53,$D$9,0))=TRUE,$D$10,"")</f>
        <v/>
      </c>
      <c r="N54" s="450" t="str">
        <f t="shared" ref="N54:R54" si="10">IF(ISNUMBER(MATCH(N53,$D$9,0))=TRUE,$D$10,"")</f>
        <v/>
      </c>
      <c r="O54" s="450" t="str">
        <f t="shared" si="10"/>
        <v/>
      </c>
      <c r="P54" s="450" t="str">
        <f t="shared" si="10"/>
        <v/>
      </c>
      <c r="Q54" s="450" t="str">
        <f t="shared" si="10"/>
        <v/>
      </c>
      <c r="R54" s="450" t="str">
        <f t="shared" si="10"/>
        <v/>
      </c>
      <c r="S54" s="34"/>
      <c r="T54" s="34"/>
      <c r="U54" s="188"/>
      <c r="V54" s="195"/>
      <c r="W54" s="195"/>
      <c r="X54" s="191"/>
      <c r="Y54" s="31"/>
      <c r="Z54" s="197"/>
      <c r="AA54" s="191"/>
      <c r="AB54" s="194"/>
      <c r="AC54" s="188"/>
      <c r="AD54" s="195"/>
      <c r="AE54" s="195"/>
      <c r="AF54" s="191"/>
      <c r="AG54" s="195"/>
      <c r="AH54" s="197"/>
      <c r="AI54" s="191"/>
      <c r="AJ54" s="194"/>
    </row>
    <row r="55" spans="1:36" x14ac:dyDescent="0.2">
      <c r="A55" s="206"/>
      <c r="B55" s="195"/>
      <c r="C55" s="195"/>
      <c r="D55" s="188"/>
      <c r="E55" s="195"/>
      <c r="F55" s="195"/>
      <c r="G55" s="191"/>
      <c r="H55" s="194"/>
      <c r="K55" s="446"/>
      <c r="L55" s="194" t="s">
        <v>330</v>
      </c>
      <c r="M55" s="451" t="s">
        <v>328</v>
      </c>
      <c r="N55" s="451" t="s">
        <v>328</v>
      </c>
      <c r="O55" s="451" t="s">
        <v>328</v>
      </c>
      <c r="P55" s="451" t="s">
        <v>328</v>
      </c>
      <c r="Q55" s="451" t="s">
        <v>328</v>
      </c>
      <c r="R55" s="451" t="s">
        <v>328</v>
      </c>
      <c r="S55" s="34"/>
      <c r="T55" s="461" t="s">
        <v>332</v>
      </c>
      <c r="U55" s="462"/>
      <c r="V55" s="195"/>
      <c r="W55" s="195"/>
      <c r="X55" s="191"/>
      <c r="Y55" s="31"/>
      <c r="Z55" s="197"/>
      <c r="AA55" s="191"/>
      <c r="AB55" s="194"/>
      <c r="AC55" s="188"/>
      <c r="AD55" s="195"/>
      <c r="AE55" s="195"/>
      <c r="AF55" s="191"/>
      <c r="AG55" s="195"/>
      <c r="AH55" s="197"/>
      <c r="AI55" s="191"/>
      <c r="AJ55" s="194"/>
    </row>
    <row r="56" spans="1:36" x14ac:dyDescent="0.2">
      <c r="A56" s="206"/>
      <c r="B56" s="195"/>
      <c r="C56" s="195"/>
      <c r="D56" s="188"/>
      <c r="E56" s="195"/>
      <c r="F56" s="195"/>
      <c r="G56" s="191"/>
      <c r="H56" s="194"/>
      <c r="K56" s="446"/>
      <c r="L56" s="194"/>
      <c r="M56" s="451" t="str">
        <f>IF(M54="","",(M54*100)/325829)</f>
        <v/>
      </c>
      <c r="N56" s="451" t="str">
        <f>IF(N54="","",(N54*1000)/325829)</f>
        <v/>
      </c>
      <c r="O56" s="459" t="str">
        <f>O54</f>
        <v/>
      </c>
      <c r="P56" s="459" t="str">
        <f>IF(P54="","",(P54*0.001))</f>
        <v/>
      </c>
      <c r="Q56" s="451" t="str">
        <f>IF(Q54="","",Q54*0.01)</f>
        <v/>
      </c>
      <c r="R56" s="451" t="str">
        <f>IF(R54="","",(R54*0.01)/12)</f>
        <v/>
      </c>
      <c r="S56" s="34"/>
      <c r="T56" s="461">
        <f>MAX(M56:R56)</f>
        <v>0</v>
      </c>
      <c r="U56" s="461" t="s">
        <v>331</v>
      </c>
      <c r="V56" s="195"/>
      <c r="W56" s="195"/>
      <c r="X56" s="191"/>
      <c r="Y56" s="31"/>
      <c r="Z56" s="197"/>
      <c r="AA56" s="191"/>
      <c r="AB56" s="194"/>
      <c r="AC56" s="188"/>
      <c r="AD56" s="195"/>
      <c r="AE56" s="195"/>
      <c r="AF56" s="191"/>
      <c r="AG56" s="195"/>
      <c r="AH56" s="197"/>
      <c r="AI56" s="191"/>
      <c r="AJ56" s="194"/>
    </row>
    <row r="57" spans="1:36" x14ac:dyDescent="0.2">
      <c r="A57" s="206"/>
      <c r="B57" s="195"/>
      <c r="C57" s="195"/>
      <c r="D57" s="188"/>
      <c r="E57" s="195"/>
      <c r="F57" s="195"/>
      <c r="G57" s="191"/>
      <c r="H57" s="194"/>
      <c r="K57" s="457"/>
      <c r="L57" s="452"/>
      <c r="M57" s="453"/>
      <c r="N57" s="454"/>
      <c r="O57" s="454"/>
      <c r="P57" s="455"/>
      <c r="Q57" s="454"/>
      <c r="R57" s="454"/>
      <c r="S57" s="34"/>
      <c r="T57" s="34"/>
      <c r="U57" s="188"/>
      <c r="V57" s="195"/>
      <c r="W57" s="195"/>
      <c r="X57" s="191"/>
      <c r="Y57" s="31"/>
      <c r="Z57" s="197"/>
      <c r="AA57" s="191"/>
      <c r="AB57" s="194"/>
      <c r="AC57" s="188"/>
      <c r="AD57" s="195"/>
      <c r="AE57" s="195"/>
      <c r="AF57" s="191"/>
      <c r="AG57" s="195"/>
      <c r="AH57" s="197"/>
      <c r="AI57" s="191"/>
      <c r="AJ57" s="194"/>
    </row>
    <row r="58" spans="1:36" ht="15.75" x14ac:dyDescent="0.25">
      <c r="A58" s="206"/>
      <c r="B58" s="195"/>
      <c r="C58" s="195"/>
      <c r="D58" s="188"/>
      <c r="E58" s="195"/>
      <c r="F58" s="195"/>
      <c r="G58" s="191"/>
      <c r="H58" s="194"/>
      <c r="K58" s="458" t="s">
        <v>286</v>
      </c>
      <c r="L58" s="204" t="s">
        <v>329</v>
      </c>
      <c r="M58" s="447" t="s">
        <v>278</v>
      </c>
      <c r="N58" s="448" t="s">
        <v>279</v>
      </c>
      <c r="O58" s="448" t="s">
        <v>280</v>
      </c>
      <c r="P58" s="449" t="s">
        <v>281</v>
      </c>
      <c r="Q58" s="449" t="s">
        <v>282</v>
      </c>
      <c r="R58" s="449" t="s">
        <v>283</v>
      </c>
      <c r="S58" s="34"/>
      <c r="T58" s="34"/>
      <c r="U58" s="188"/>
      <c r="V58" s="195"/>
      <c r="W58" s="195"/>
      <c r="X58" s="191"/>
      <c r="Y58" s="31"/>
      <c r="Z58" s="197"/>
      <c r="AA58" s="191"/>
      <c r="AB58" s="194"/>
      <c r="AC58" s="188"/>
      <c r="AD58" s="195"/>
      <c r="AE58" s="195"/>
      <c r="AF58" s="191"/>
      <c r="AG58" s="195"/>
      <c r="AH58" s="197"/>
      <c r="AI58" s="191"/>
      <c r="AJ58" s="194"/>
    </row>
    <row r="59" spans="1:36" ht="15.75" x14ac:dyDescent="0.25">
      <c r="A59" s="206"/>
      <c r="B59" s="195"/>
      <c r="C59" s="195"/>
      <c r="D59" s="188"/>
      <c r="E59" s="195"/>
      <c r="F59" s="195"/>
      <c r="G59" s="191"/>
      <c r="H59" s="194"/>
      <c r="I59" s="194"/>
      <c r="J59" s="452"/>
      <c r="K59" s="209"/>
      <c r="M59" s="62" t="str">
        <f t="shared" ref="M59:R59" si="11">IF(ISNUMBER(MATCH(M53,$D$9,0))=TRUE,MAX($E$10:$E$49),"")</f>
        <v/>
      </c>
      <c r="N59" s="62" t="str">
        <f t="shared" si="11"/>
        <v/>
      </c>
      <c r="O59" s="62" t="str">
        <f t="shared" si="11"/>
        <v/>
      </c>
      <c r="P59" s="62" t="str">
        <f t="shared" si="11"/>
        <v/>
      </c>
      <c r="Q59" s="62" t="str">
        <f t="shared" si="11"/>
        <v/>
      </c>
      <c r="R59" s="62" t="str">
        <f t="shared" si="11"/>
        <v/>
      </c>
      <c r="S59" s="34"/>
      <c r="T59" s="34"/>
      <c r="U59" s="188"/>
      <c r="V59" s="195"/>
      <c r="W59" s="195"/>
      <c r="X59" s="191"/>
      <c r="Y59" s="31"/>
      <c r="Z59" s="197"/>
      <c r="AA59" s="191"/>
      <c r="AB59" s="194"/>
      <c r="AC59" s="188"/>
      <c r="AD59" s="195"/>
      <c r="AE59" s="195"/>
      <c r="AF59" s="191"/>
      <c r="AG59" s="195"/>
      <c r="AH59" s="197"/>
      <c r="AI59" s="191"/>
      <c r="AJ59" s="194"/>
    </row>
    <row r="60" spans="1:36" x14ac:dyDescent="0.2">
      <c r="A60" s="206"/>
      <c r="B60" s="195"/>
      <c r="C60" s="195"/>
      <c r="D60" s="188"/>
      <c r="E60" s="195"/>
      <c r="F60" s="195"/>
      <c r="G60" s="191"/>
      <c r="H60" s="194"/>
      <c r="I60" s="194"/>
      <c r="J60" s="452"/>
      <c r="L60" s="194" t="s">
        <v>330</v>
      </c>
      <c r="M60" s="451" t="s">
        <v>328</v>
      </c>
      <c r="N60" s="451" t="s">
        <v>328</v>
      </c>
      <c r="O60" s="451" t="s">
        <v>328</v>
      </c>
      <c r="P60" s="451" t="s">
        <v>328</v>
      </c>
      <c r="Q60" s="451" t="s">
        <v>328</v>
      </c>
      <c r="R60" s="451" t="s">
        <v>328</v>
      </c>
      <c r="S60" s="34"/>
      <c r="T60" s="461" t="s">
        <v>333</v>
      </c>
      <c r="U60" s="462"/>
      <c r="V60" s="195"/>
      <c r="W60" s="195"/>
      <c r="X60" s="191"/>
      <c r="Y60" s="31"/>
      <c r="Z60" s="197"/>
      <c r="AA60" s="191"/>
      <c r="AB60" s="194"/>
      <c r="AC60" s="188"/>
      <c r="AD60" s="195"/>
      <c r="AE60" s="195"/>
      <c r="AF60" s="191"/>
      <c r="AG60" s="195"/>
      <c r="AH60" s="197"/>
      <c r="AI60" s="191"/>
      <c r="AJ60" s="194"/>
    </row>
    <row r="61" spans="1:36" x14ac:dyDescent="0.2">
      <c r="A61" s="206"/>
      <c r="B61" s="195"/>
      <c r="C61" s="195"/>
      <c r="D61" s="188"/>
      <c r="E61" s="195"/>
      <c r="F61" s="195"/>
      <c r="G61" s="191"/>
      <c r="H61" s="194"/>
      <c r="I61" s="194"/>
      <c r="J61" s="188"/>
      <c r="K61" s="194"/>
      <c r="L61" s="452"/>
      <c r="M61" s="451" t="str">
        <f>IF(M59="","",(M59*100)/325829)</f>
        <v/>
      </c>
      <c r="N61" s="451" t="str">
        <f>IF(N59="","",(N59*1000)/325829)</f>
        <v/>
      </c>
      <c r="O61" s="459" t="str">
        <f>O59</f>
        <v/>
      </c>
      <c r="P61" s="459" t="str">
        <f>IF(P59="","",(P59*0.001))</f>
        <v/>
      </c>
      <c r="Q61" s="451" t="str">
        <f>IF(Q59="","",Q59*0.01)</f>
        <v/>
      </c>
      <c r="R61" s="451" t="str">
        <f>IF(R59="","",(R59*0.01)/12)</f>
        <v/>
      </c>
      <c r="S61" s="34"/>
      <c r="T61" s="461">
        <f>MAX(M61:R61)</f>
        <v>0</v>
      </c>
      <c r="U61" s="461" t="s">
        <v>331</v>
      </c>
      <c r="V61" s="195"/>
      <c r="W61" s="195"/>
      <c r="X61" s="191"/>
      <c r="Y61" s="31"/>
      <c r="Z61" s="197"/>
      <c r="AA61" s="191"/>
      <c r="AB61" s="194"/>
      <c r="AC61" s="188"/>
      <c r="AD61" s="195"/>
      <c r="AE61" s="195"/>
      <c r="AF61" s="191"/>
      <c r="AG61" s="195"/>
      <c r="AH61" s="197"/>
      <c r="AI61" s="191"/>
      <c r="AJ61" s="194"/>
    </row>
    <row r="62" spans="1:36" x14ac:dyDescent="0.2">
      <c r="A62" s="206"/>
      <c r="B62" s="195"/>
      <c r="C62" s="195"/>
      <c r="D62" s="188"/>
      <c r="E62" s="195"/>
      <c r="F62" s="195"/>
      <c r="G62" s="191"/>
      <c r="H62" s="194"/>
      <c r="I62" s="194"/>
      <c r="J62" s="188"/>
      <c r="K62" s="195"/>
      <c r="L62" s="195"/>
      <c r="M62" s="195"/>
      <c r="N62" s="191"/>
      <c r="O62" s="195"/>
      <c r="P62" s="195"/>
      <c r="Q62" s="191"/>
      <c r="R62" s="194"/>
      <c r="S62" s="34"/>
      <c r="T62" s="34"/>
      <c r="U62" s="188"/>
      <c r="V62" s="195"/>
      <c r="W62" s="195"/>
      <c r="X62" s="191"/>
      <c r="Y62" s="31"/>
      <c r="Z62" s="197"/>
      <c r="AA62" s="191"/>
      <c r="AB62" s="194"/>
      <c r="AC62" s="188"/>
      <c r="AD62" s="195"/>
      <c r="AE62" s="195"/>
      <c r="AF62" s="191"/>
      <c r="AG62" s="195"/>
      <c r="AH62" s="197"/>
      <c r="AI62" s="191"/>
      <c r="AJ62" s="194"/>
    </row>
    <row r="63" spans="1:36" x14ac:dyDescent="0.2">
      <c r="A63" s="206"/>
      <c r="B63" s="195"/>
      <c r="C63" s="195"/>
      <c r="D63" s="188"/>
      <c r="E63" s="195"/>
      <c r="F63" s="195"/>
      <c r="G63" s="191"/>
      <c r="H63" s="194"/>
      <c r="I63" s="194"/>
      <c r="J63" s="188"/>
      <c r="K63" s="195"/>
      <c r="L63" s="195"/>
      <c r="M63" s="195"/>
      <c r="N63" s="191"/>
      <c r="O63" s="195"/>
      <c r="P63" s="195"/>
      <c r="Q63" s="191"/>
      <c r="R63" s="194"/>
      <c r="S63" s="34"/>
      <c r="T63" s="34"/>
      <c r="U63" s="188"/>
      <c r="V63" s="195"/>
      <c r="W63" s="195"/>
      <c r="X63" s="191"/>
      <c r="Y63" s="31"/>
      <c r="Z63" s="197"/>
      <c r="AA63" s="191"/>
      <c r="AB63" s="194"/>
      <c r="AC63" s="188"/>
      <c r="AD63" s="195"/>
      <c r="AE63" s="195"/>
      <c r="AF63" s="191"/>
      <c r="AG63" s="195"/>
      <c r="AH63" s="197"/>
      <c r="AI63" s="191"/>
      <c r="AJ63" s="194"/>
    </row>
    <row r="64" spans="1:36" x14ac:dyDescent="0.2">
      <c r="A64" s="206"/>
      <c r="B64" s="195"/>
      <c r="C64" s="195"/>
      <c r="D64" s="188"/>
      <c r="E64" s="195"/>
      <c r="F64" s="195"/>
      <c r="G64" s="191"/>
      <c r="H64" s="194"/>
      <c r="I64" s="194"/>
      <c r="J64" s="188"/>
      <c r="K64" s="195"/>
      <c r="L64" s="195"/>
      <c r="M64" s="195"/>
      <c r="N64" s="191"/>
      <c r="O64" s="195"/>
      <c r="P64" s="195"/>
      <c r="Q64" s="191"/>
      <c r="R64" s="194"/>
      <c r="S64" s="34"/>
      <c r="T64" s="34"/>
      <c r="U64" s="188"/>
      <c r="V64" s="195"/>
      <c r="W64" s="195"/>
      <c r="X64" s="191"/>
      <c r="Y64" s="31"/>
      <c r="Z64" s="197"/>
      <c r="AA64" s="191"/>
      <c r="AB64" s="194"/>
      <c r="AC64" s="188"/>
      <c r="AD64" s="195"/>
      <c r="AE64" s="195"/>
      <c r="AF64" s="191"/>
      <c r="AG64" s="195"/>
      <c r="AH64" s="197"/>
      <c r="AI64" s="191"/>
      <c r="AJ64" s="194"/>
    </row>
    <row r="65" spans="1:38" x14ac:dyDescent="0.2">
      <c r="A65" s="206"/>
      <c r="B65" s="195"/>
      <c r="C65" s="195"/>
      <c r="D65" s="188"/>
      <c r="E65" s="195"/>
      <c r="F65" s="195"/>
      <c r="G65" s="191"/>
      <c r="H65" s="194"/>
      <c r="I65" s="194"/>
      <c r="J65" s="188"/>
      <c r="K65" s="195"/>
      <c r="L65" s="195"/>
      <c r="M65" s="195"/>
      <c r="N65" s="191"/>
      <c r="O65" s="195"/>
      <c r="P65" s="195"/>
      <c r="Q65" s="191"/>
      <c r="R65" s="194"/>
      <c r="S65" s="34"/>
      <c r="T65" s="34"/>
      <c r="U65" s="188"/>
      <c r="V65" s="195"/>
      <c r="W65" s="195"/>
      <c r="X65" s="191"/>
      <c r="Y65" s="31"/>
      <c r="Z65" s="197"/>
      <c r="AA65" s="191"/>
      <c r="AB65" s="194"/>
      <c r="AC65" s="188"/>
      <c r="AD65" s="195"/>
      <c r="AE65" s="195"/>
      <c r="AF65" s="191"/>
      <c r="AG65" s="195"/>
      <c r="AH65" s="197"/>
      <c r="AI65" s="191"/>
      <c r="AJ65" s="194"/>
    </row>
    <row r="66" spans="1:38" x14ac:dyDescent="0.2">
      <c r="A66" s="206"/>
      <c r="B66" s="195"/>
      <c r="C66" s="195"/>
      <c r="D66" s="188"/>
      <c r="E66" s="195"/>
      <c r="F66" s="195"/>
      <c r="G66" s="191"/>
      <c r="H66" s="194"/>
      <c r="I66" s="194"/>
      <c r="J66" s="188"/>
      <c r="K66" s="195"/>
      <c r="L66" s="195"/>
      <c r="M66" s="195"/>
      <c r="N66" s="191"/>
      <c r="O66" s="195"/>
      <c r="P66" s="195"/>
      <c r="Q66" s="191"/>
      <c r="R66" s="194"/>
      <c r="S66" s="34"/>
      <c r="T66" s="34"/>
      <c r="U66" s="188"/>
      <c r="V66" s="195"/>
      <c r="W66" s="195"/>
      <c r="X66" s="191"/>
      <c r="Y66" s="31"/>
      <c r="Z66" s="197"/>
      <c r="AA66" s="191"/>
      <c r="AB66" s="194"/>
      <c r="AC66" s="188"/>
      <c r="AD66" s="195"/>
      <c r="AE66" s="195"/>
      <c r="AF66" s="191"/>
      <c r="AG66" s="195"/>
      <c r="AH66" s="197"/>
      <c r="AI66" s="191"/>
      <c r="AJ66" s="194"/>
    </row>
    <row r="67" spans="1:38" x14ac:dyDescent="0.2">
      <c r="A67" s="206"/>
      <c r="B67" s="195"/>
      <c r="C67" s="195"/>
      <c r="D67" s="188"/>
      <c r="E67" s="195"/>
      <c r="F67" s="195"/>
      <c r="G67" s="191"/>
      <c r="H67" s="194"/>
      <c r="I67" s="194"/>
      <c r="J67" s="188"/>
      <c r="K67" s="195"/>
      <c r="L67" s="195"/>
      <c r="M67" s="195"/>
      <c r="N67" s="191"/>
      <c r="O67" s="195"/>
      <c r="P67" s="195"/>
      <c r="Q67" s="191"/>
      <c r="R67" s="194"/>
      <c r="S67" s="34"/>
      <c r="T67" s="34"/>
      <c r="U67" s="188"/>
      <c r="V67" s="195"/>
      <c r="W67" s="195"/>
      <c r="X67" s="191"/>
      <c r="Y67" s="31"/>
      <c r="Z67" s="197"/>
      <c r="AA67" s="191"/>
      <c r="AB67" s="194"/>
      <c r="AC67" s="188"/>
      <c r="AD67" s="195"/>
      <c r="AE67" s="195"/>
      <c r="AF67" s="191"/>
      <c r="AG67" s="195"/>
      <c r="AH67" s="197"/>
      <c r="AI67" s="191"/>
      <c r="AJ67" s="194"/>
    </row>
    <row r="68" spans="1:38" x14ac:dyDescent="0.2">
      <c r="A68" s="206"/>
      <c r="B68" s="195"/>
      <c r="C68" s="195"/>
      <c r="D68" s="188"/>
      <c r="E68" s="195"/>
      <c r="F68" s="195"/>
      <c r="G68" s="191"/>
      <c r="H68" s="194"/>
      <c r="I68" s="194"/>
      <c r="J68" s="188"/>
      <c r="K68" s="195"/>
      <c r="L68" s="195"/>
      <c r="M68" s="195"/>
      <c r="N68" s="191"/>
      <c r="O68" s="195"/>
      <c r="P68" s="195"/>
      <c r="Q68" s="191"/>
      <c r="R68" s="194"/>
      <c r="S68" s="34"/>
      <c r="T68" s="34"/>
      <c r="U68" s="188"/>
      <c r="V68" s="195"/>
      <c r="W68" s="195"/>
      <c r="X68" s="191"/>
      <c r="Y68" s="31"/>
      <c r="Z68" s="197"/>
      <c r="AA68" s="191"/>
      <c r="AB68" s="194"/>
      <c r="AC68" s="188"/>
      <c r="AD68" s="195"/>
      <c r="AE68" s="195"/>
      <c r="AF68" s="191"/>
      <c r="AG68" s="195"/>
      <c r="AH68" s="197"/>
      <c r="AI68" s="191"/>
      <c r="AJ68" s="194"/>
    </row>
    <row r="69" spans="1:38" x14ac:dyDescent="0.2">
      <c r="B69" s="34"/>
      <c r="C69" s="34"/>
      <c r="D69" s="188"/>
      <c r="E69" s="195"/>
      <c r="F69" s="195"/>
      <c r="G69" s="191"/>
      <c r="H69" s="194"/>
      <c r="I69" s="194"/>
      <c r="J69" s="188"/>
      <c r="K69" s="195"/>
      <c r="L69" s="195"/>
      <c r="M69" s="195"/>
      <c r="N69" s="191"/>
      <c r="O69" s="195"/>
      <c r="P69" s="195"/>
      <c r="Q69" s="191"/>
      <c r="R69" s="194"/>
      <c r="S69" s="34"/>
      <c r="T69" s="34"/>
      <c r="U69" s="188"/>
      <c r="V69" s="195"/>
      <c r="W69" s="195"/>
      <c r="X69" s="191"/>
      <c r="Y69" s="31"/>
      <c r="Z69" s="197"/>
      <c r="AA69" s="191"/>
      <c r="AB69" s="194"/>
      <c r="AC69" s="188"/>
      <c r="AD69" s="195"/>
      <c r="AE69" s="195"/>
      <c r="AF69" s="191"/>
      <c r="AG69" s="195"/>
      <c r="AH69" s="197"/>
      <c r="AI69" s="191"/>
      <c r="AJ69" s="194"/>
    </row>
    <row r="70" spans="1:38" x14ac:dyDescent="0.2">
      <c r="B70" s="34"/>
      <c r="C70" s="34"/>
      <c r="D70" s="188"/>
      <c r="E70" s="195"/>
      <c r="F70" s="195"/>
      <c r="G70" s="191"/>
      <c r="H70" s="194"/>
      <c r="I70" s="194"/>
      <c r="J70" s="188"/>
      <c r="K70" s="195"/>
      <c r="L70" s="195"/>
      <c r="M70" s="195"/>
      <c r="N70" s="191"/>
      <c r="O70" s="195"/>
      <c r="P70" s="195"/>
      <c r="Q70" s="191"/>
      <c r="R70" s="194"/>
      <c r="S70" s="34"/>
      <c r="T70" s="34"/>
      <c r="U70" s="188"/>
      <c r="V70" s="195"/>
      <c r="W70" s="195"/>
      <c r="X70" s="191"/>
      <c r="Y70" s="31"/>
      <c r="Z70" s="197"/>
      <c r="AA70" s="191"/>
      <c r="AB70" s="194"/>
      <c r="AC70" s="188"/>
      <c r="AD70" s="195"/>
      <c r="AE70" s="157"/>
      <c r="AF70" s="34"/>
      <c r="AG70" s="34"/>
      <c r="AH70" s="34"/>
      <c r="AI70" s="34"/>
      <c r="AJ70" s="34"/>
      <c r="AK70" s="34"/>
      <c r="AL70" s="34"/>
    </row>
    <row r="71" spans="1:38" x14ac:dyDescent="0.2">
      <c r="B71" s="34"/>
      <c r="C71" s="34"/>
      <c r="D71" s="188"/>
      <c r="E71" s="195"/>
      <c r="F71" s="195"/>
      <c r="G71" s="191"/>
      <c r="H71" s="194"/>
      <c r="I71" s="194"/>
      <c r="J71" s="188"/>
      <c r="K71" s="195"/>
      <c r="L71" s="195"/>
      <c r="M71" s="195"/>
      <c r="N71" s="191"/>
      <c r="O71" s="195"/>
      <c r="P71" s="195"/>
      <c r="Q71" s="191"/>
      <c r="R71" s="194"/>
      <c r="S71" s="34"/>
      <c r="T71" s="34"/>
      <c r="U71" s="188"/>
      <c r="V71" s="195"/>
      <c r="W71" s="195"/>
      <c r="X71" s="191"/>
      <c r="Y71" s="31"/>
      <c r="Z71" s="197"/>
      <c r="AA71" s="191"/>
      <c r="AB71" s="194"/>
      <c r="AC71" s="188"/>
      <c r="AD71" s="195"/>
      <c r="AE71" s="34"/>
      <c r="AF71" s="34"/>
      <c r="AG71" s="34"/>
      <c r="AH71" s="34"/>
      <c r="AI71" s="34"/>
      <c r="AJ71" s="34"/>
      <c r="AK71" s="34"/>
      <c r="AL71" s="34"/>
    </row>
    <row r="72" spans="1:38" x14ac:dyDescent="0.2">
      <c r="B72" s="34"/>
      <c r="C72" s="34"/>
      <c r="D72" s="188"/>
      <c r="E72" s="195"/>
      <c r="F72" s="195"/>
      <c r="G72" s="191"/>
      <c r="H72" s="194"/>
      <c r="I72" s="194"/>
      <c r="J72" s="188"/>
      <c r="K72" s="195"/>
      <c r="L72" s="195"/>
      <c r="M72" s="195"/>
      <c r="N72" s="191"/>
      <c r="O72" s="195"/>
      <c r="P72" s="195"/>
      <c r="Q72" s="191"/>
      <c r="R72" s="194"/>
      <c r="S72" s="34"/>
      <c r="T72" s="34"/>
      <c r="U72" s="188"/>
      <c r="V72" s="195"/>
      <c r="W72" s="195"/>
      <c r="X72" s="191"/>
      <c r="Y72" s="31"/>
      <c r="Z72" s="197"/>
      <c r="AA72" s="191"/>
      <c r="AB72" s="194"/>
      <c r="AC72" s="188"/>
      <c r="AD72" s="195"/>
      <c r="AE72" s="34"/>
      <c r="AF72" s="34"/>
      <c r="AG72" s="34"/>
      <c r="AH72" s="34"/>
      <c r="AI72" s="34"/>
      <c r="AJ72" s="34"/>
      <c r="AK72" s="34"/>
      <c r="AL72" s="34"/>
    </row>
    <row r="73" spans="1:38" x14ac:dyDescent="0.2">
      <c r="B73" s="34"/>
      <c r="C73" s="34"/>
      <c r="D73" s="188"/>
      <c r="E73" s="195"/>
      <c r="F73" s="195"/>
      <c r="G73" s="191"/>
      <c r="H73" s="194"/>
      <c r="I73" s="194"/>
      <c r="J73" s="188"/>
      <c r="K73" s="195"/>
      <c r="L73" s="195"/>
      <c r="M73" s="195"/>
      <c r="N73" s="191"/>
      <c r="O73" s="195"/>
      <c r="P73" s="195"/>
      <c r="Q73" s="191"/>
      <c r="R73" s="194"/>
      <c r="S73" s="34"/>
      <c r="T73" s="34"/>
      <c r="U73" s="188"/>
      <c r="V73" s="195"/>
      <c r="W73" s="195"/>
      <c r="X73" s="191"/>
      <c r="Y73" s="31"/>
      <c r="Z73" s="197"/>
      <c r="AA73" s="191"/>
      <c r="AB73" s="194"/>
      <c r="AC73" s="188"/>
      <c r="AD73" s="195"/>
      <c r="AE73" s="34"/>
      <c r="AF73" s="55"/>
      <c r="AG73" s="34"/>
      <c r="AH73" s="34"/>
      <c r="AI73" s="34"/>
      <c r="AJ73" s="34"/>
      <c r="AK73" s="34"/>
      <c r="AL73" s="34"/>
    </row>
    <row r="74" spans="1:38" x14ac:dyDescent="0.2">
      <c r="B74" s="34"/>
      <c r="C74" s="34"/>
      <c r="D74" s="188"/>
      <c r="E74" s="195"/>
      <c r="F74" s="195"/>
      <c r="G74" s="191"/>
      <c r="H74" s="194"/>
      <c r="I74" s="194"/>
      <c r="J74" s="188"/>
      <c r="K74" s="195"/>
      <c r="L74" s="195"/>
      <c r="M74" s="195"/>
      <c r="N74" s="191"/>
      <c r="O74" s="195"/>
      <c r="P74" s="195"/>
      <c r="Q74" s="191"/>
      <c r="R74" s="194"/>
      <c r="S74" s="34"/>
      <c r="T74" s="34"/>
      <c r="U74" s="188"/>
      <c r="V74" s="195"/>
      <c r="W74" s="195"/>
      <c r="X74" s="191"/>
      <c r="Y74" s="31"/>
      <c r="Z74" s="197"/>
      <c r="AA74" s="191"/>
      <c r="AB74" s="194"/>
      <c r="AC74" s="188"/>
      <c r="AD74" s="195"/>
      <c r="AE74" s="34"/>
      <c r="AF74" s="55"/>
      <c r="AG74" s="34"/>
      <c r="AH74" s="34"/>
      <c r="AI74" s="34"/>
      <c r="AJ74" s="34"/>
      <c r="AK74" s="34"/>
      <c r="AL74" s="34"/>
    </row>
    <row r="75" spans="1:38" x14ac:dyDescent="0.2">
      <c r="B75" s="34"/>
      <c r="C75" s="34"/>
      <c r="D75" s="188"/>
      <c r="E75" s="195"/>
      <c r="F75" s="195"/>
      <c r="G75" s="191"/>
      <c r="H75" s="194"/>
      <c r="I75" s="194"/>
      <c r="J75" s="188"/>
      <c r="K75" s="195"/>
      <c r="L75" s="195"/>
      <c r="M75" s="195"/>
      <c r="N75" s="191"/>
      <c r="O75" s="195"/>
      <c r="P75" s="195"/>
      <c r="Q75" s="191"/>
      <c r="R75" s="194"/>
      <c r="S75" s="34"/>
      <c r="T75" s="34"/>
      <c r="U75" s="188"/>
      <c r="V75" s="195"/>
      <c r="W75" s="195"/>
      <c r="X75" s="191"/>
      <c r="Y75" s="31"/>
      <c r="Z75" s="197"/>
      <c r="AA75" s="191"/>
      <c r="AB75" s="194"/>
      <c r="AC75" s="188"/>
      <c r="AD75" s="195"/>
      <c r="AE75" s="34"/>
      <c r="AF75" s="34"/>
      <c r="AG75" s="34"/>
      <c r="AH75" s="34"/>
      <c r="AI75" s="34"/>
      <c r="AJ75" s="34"/>
      <c r="AK75" s="34"/>
      <c r="AL75" s="34"/>
    </row>
    <row r="76" spans="1:38" x14ac:dyDescent="0.2">
      <c r="B76" s="34"/>
      <c r="C76" s="34"/>
      <c r="D76" s="188"/>
      <c r="E76" s="195"/>
      <c r="F76" s="195"/>
      <c r="G76" s="191"/>
      <c r="H76" s="194"/>
      <c r="I76" s="194"/>
      <c r="J76" s="188"/>
      <c r="K76" s="195"/>
      <c r="L76" s="195"/>
      <c r="M76" s="195"/>
      <c r="N76" s="191"/>
      <c r="O76" s="195"/>
      <c r="P76" s="195"/>
      <c r="Q76" s="191"/>
      <c r="R76" s="194"/>
      <c r="S76" s="34"/>
      <c r="T76" s="34"/>
      <c r="U76" s="188"/>
      <c r="V76" s="195"/>
      <c r="W76" s="195"/>
      <c r="X76" s="191"/>
      <c r="Y76" s="31"/>
      <c r="Z76" s="197"/>
      <c r="AA76" s="191"/>
      <c r="AB76" s="194"/>
      <c r="AC76" s="188"/>
      <c r="AD76" s="195"/>
      <c r="AE76" s="34"/>
      <c r="AF76" s="34"/>
      <c r="AG76" s="34"/>
      <c r="AH76" s="34"/>
      <c r="AI76" s="211"/>
      <c r="AJ76" s="34"/>
      <c r="AK76" s="34"/>
      <c r="AL76" s="34"/>
    </row>
    <row r="77" spans="1:38" x14ac:dyDescent="0.2">
      <c r="B77" s="34"/>
      <c r="C77" s="34"/>
      <c r="D77" s="188"/>
      <c r="E77" s="195"/>
      <c r="F77" s="195"/>
      <c r="G77" s="191"/>
      <c r="H77" s="194"/>
      <c r="I77" s="194"/>
      <c r="J77" s="188"/>
      <c r="K77" s="195"/>
      <c r="L77" s="195"/>
      <c r="M77" s="195"/>
      <c r="N77" s="191"/>
      <c r="O77" s="195"/>
      <c r="P77" s="195"/>
      <c r="Q77" s="191"/>
      <c r="R77" s="194"/>
      <c r="S77" s="34"/>
      <c r="T77" s="34"/>
      <c r="U77" s="188"/>
      <c r="V77" s="195"/>
      <c r="W77" s="195"/>
      <c r="X77" s="191"/>
      <c r="Y77" s="31"/>
      <c r="Z77" s="197"/>
      <c r="AA77" s="191"/>
      <c r="AB77" s="194"/>
      <c r="AC77" s="188"/>
      <c r="AD77" s="195"/>
      <c r="AE77" s="184"/>
      <c r="AF77" s="212"/>
      <c r="AG77" s="34"/>
      <c r="AH77" s="34"/>
      <c r="AI77" s="34"/>
      <c r="AJ77" s="34"/>
      <c r="AK77" s="34"/>
      <c r="AL77" s="34"/>
    </row>
    <row r="78" spans="1:38" x14ac:dyDescent="0.2">
      <c r="B78" s="34"/>
      <c r="C78" s="34"/>
      <c r="D78" s="188"/>
      <c r="E78" s="195"/>
      <c r="F78" s="195"/>
      <c r="G78" s="191"/>
      <c r="H78" s="194"/>
      <c r="I78" s="194"/>
      <c r="J78" s="188"/>
      <c r="K78" s="195"/>
      <c r="L78" s="195"/>
      <c r="M78" s="195"/>
      <c r="N78" s="191"/>
      <c r="O78" s="195"/>
      <c r="P78" s="195"/>
      <c r="Q78" s="191"/>
      <c r="R78" s="194"/>
      <c r="S78" s="34"/>
      <c r="T78" s="34"/>
      <c r="U78" s="188"/>
      <c r="V78" s="195"/>
      <c r="W78" s="195"/>
      <c r="X78" s="191"/>
      <c r="Y78" s="31"/>
      <c r="Z78" s="197"/>
      <c r="AA78" s="191"/>
      <c r="AB78" s="194"/>
      <c r="AC78" s="188"/>
      <c r="AD78" s="195"/>
      <c r="AE78" s="34"/>
      <c r="AF78" s="198"/>
      <c r="AG78" s="183"/>
      <c r="AH78" s="183"/>
      <c r="AI78" s="183"/>
      <c r="AJ78" s="34"/>
      <c r="AK78" s="34"/>
      <c r="AL78" s="34"/>
    </row>
    <row r="79" spans="1:38" x14ac:dyDescent="0.2">
      <c r="B79" s="34"/>
      <c r="C79" s="34"/>
      <c r="D79" s="188"/>
      <c r="E79" s="195"/>
      <c r="F79" s="195"/>
      <c r="G79" s="191"/>
      <c r="H79" s="194"/>
      <c r="I79" s="194"/>
      <c r="J79" s="188"/>
      <c r="K79" s="195"/>
      <c r="L79" s="195"/>
      <c r="M79" s="195"/>
      <c r="N79" s="191"/>
      <c r="O79" s="195"/>
      <c r="P79" s="195"/>
      <c r="Q79" s="191"/>
      <c r="R79" s="194"/>
      <c r="S79" s="34"/>
      <c r="T79" s="34"/>
      <c r="U79" s="188"/>
      <c r="V79" s="195"/>
      <c r="W79" s="195"/>
      <c r="X79" s="191"/>
      <c r="Y79" s="31"/>
      <c r="Z79" s="197"/>
      <c r="AA79" s="191"/>
      <c r="AB79" s="194"/>
      <c r="AC79" s="188"/>
      <c r="AD79" s="195"/>
      <c r="AE79" s="213"/>
      <c r="AF79" s="214"/>
      <c r="AG79" s="213"/>
      <c r="AH79" s="213"/>
      <c r="AI79" s="213"/>
      <c r="AJ79" s="34"/>
      <c r="AK79" s="34"/>
      <c r="AL79" s="34"/>
    </row>
    <row r="80" spans="1:38" x14ac:dyDescent="0.2">
      <c r="B80" s="34"/>
      <c r="C80" s="34"/>
      <c r="D80" s="188"/>
      <c r="E80" s="195"/>
      <c r="F80" s="195"/>
      <c r="G80" s="191"/>
      <c r="H80" s="194"/>
      <c r="I80" s="194"/>
      <c r="J80" s="188"/>
      <c r="K80" s="195"/>
      <c r="L80" s="195"/>
      <c r="M80" s="195"/>
      <c r="N80" s="191"/>
      <c r="O80" s="195"/>
      <c r="P80" s="195"/>
      <c r="Q80" s="191"/>
      <c r="R80" s="194"/>
      <c r="S80" s="34"/>
      <c r="T80" s="34"/>
      <c r="U80" s="188"/>
      <c r="V80" s="195"/>
      <c r="W80" s="195"/>
      <c r="X80" s="191"/>
      <c r="Y80" s="31"/>
      <c r="Z80" s="197"/>
      <c r="AA80" s="191"/>
      <c r="AB80" s="194"/>
      <c r="AC80" s="188"/>
      <c r="AD80" s="195"/>
      <c r="AE80" s="195"/>
      <c r="AF80" s="200"/>
      <c r="AG80" s="195"/>
      <c r="AH80" s="195"/>
      <c r="AI80" s="191"/>
      <c r="AJ80" s="194"/>
      <c r="AK80" s="34"/>
      <c r="AL80" s="34"/>
    </row>
    <row r="81" spans="2:38" x14ac:dyDescent="0.2">
      <c r="B81" s="34"/>
      <c r="C81" s="34"/>
      <c r="D81" s="188"/>
      <c r="E81" s="195"/>
      <c r="F81" s="195"/>
      <c r="G81" s="191"/>
      <c r="H81" s="194"/>
      <c r="I81" s="194"/>
      <c r="J81" s="188"/>
      <c r="K81" s="195"/>
      <c r="L81" s="195"/>
      <c r="M81" s="195"/>
      <c r="N81" s="191"/>
      <c r="O81" s="195"/>
      <c r="P81" s="195"/>
      <c r="Q81" s="191"/>
      <c r="R81" s="194"/>
      <c r="S81" s="34"/>
      <c r="T81" s="34"/>
      <c r="U81" s="188"/>
      <c r="V81" s="195"/>
      <c r="W81" s="195"/>
      <c r="X81" s="191"/>
      <c r="Y81" s="31"/>
      <c r="Z81" s="197"/>
      <c r="AA81" s="191"/>
      <c r="AB81" s="194"/>
      <c r="AC81" s="188"/>
      <c r="AD81" s="195"/>
      <c r="AE81" s="195"/>
      <c r="AF81" s="200"/>
      <c r="AG81" s="195"/>
      <c r="AH81" s="195"/>
      <c r="AI81" s="191"/>
      <c r="AJ81" s="194"/>
      <c r="AK81" s="34"/>
      <c r="AL81" s="34"/>
    </row>
    <row r="82" spans="2:38" x14ac:dyDescent="0.2">
      <c r="B82" s="34"/>
      <c r="C82" s="34"/>
      <c r="D82" s="188"/>
      <c r="E82" s="195"/>
      <c r="F82" s="195"/>
      <c r="G82" s="191"/>
      <c r="H82" s="194"/>
      <c r="I82" s="194"/>
      <c r="J82" s="188"/>
      <c r="K82" s="195"/>
      <c r="L82" s="195"/>
      <c r="M82" s="195"/>
      <c r="N82" s="191"/>
      <c r="O82" s="195"/>
      <c r="P82" s="195"/>
      <c r="Q82" s="191"/>
      <c r="R82" s="194"/>
      <c r="S82" s="34"/>
      <c r="T82" s="34"/>
      <c r="U82" s="188"/>
      <c r="V82" s="195"/>
      <c r="W82" s="195"/>
      <c r="X82" s="191"/>
      <c r="Y82" s="31"/>
      <c r="Z82" s="197"/>
      <c r="AA82" s="191"/>
      <c r="AB82" s="194"/>
      <c r="AC82" s="188"/>
      <c r="AD82" s="195"/>
      <c r="AE82" s="195"/>
      <c r="AF82" s="200"/>
      <c r="AG82" s="195"/>
      <c r="AH82" s="195"/>
      <c r="AI82" s="191"/>
      <c r="AJ82" s="194"/>
      <c r="AK82" s="34"/>
      <c r="AL82" s="34"/>
    </row>
    <row r="83" spans="2:38" x14ac:dyDescent="0.2">
      <c r="B83" s="34"/>
      <c r="C83" s="34"/>
      <c r="D83" s="188"/>
      <c r="E83" s="195"/>
      <c r="F83" s="195"/>
      <c r="G83" s="191"/>
      <c r="H83" s="194"/>
      <c r="I83" s="194"/>
      <c r="J83" s="188"/>
      <c r="K83" s="195"/>
      <c r="L83" s="195"/>
      <c r="M83" s="195"/>
      <c r="N83" s="191"/>
      <c r="O83" s="195"/>
      <c r="P83" s="195"/>
      <c r="Q83" s="191"/>
      <c r="R83" s="194"/>
      <c r="S83" s="34"/>
      <c r="T83" s="34"/>
      <c r="U83" s="188"/>
      <c r="V83" s="195"/>
      <c r="W83" s="195"/>
      <c r="X83" s="191"/>
      <c r="Y83" s="31"/>
      <c r="Z83" s="197"/>
      <c r="AA83" s="191"/>
      <c r="AB83" s="194"/>
      <c r="AC83" s="188"/>
      <c r="AD83" s="195"/>
      <c r="AE83" s="195"/>
      <c r="AF83" s="200"/>
      <c r="AG83" s="195"/>
      <c r="AH83" s="195"/>
      <c r="AI83" s="191"/>
      <c r="AJ83" s="194"/>
      <c r="AK83" s="34"/>
      <c r="AL83" s="34"/>
    </row>
    <row r="84" spans="2:38" x14ac:dyDescent="0.2">
      <c r="B84" s="34"/>
      <c r="C84" s="34"/>
      <c r="D84" s="188"/>
      <c r="E84" s="195"/>
      <c r="F84" s="195"/>
      <c r="G84" s="191"/>
      <c r="H84" s="194"/>
      <c r="I84" s="194"/>
      <c r="J84" s="188"/>
      <c r="K84" s="195"/>
      <c r="L84" s="195"/>
      <c r="M84" s="195"/>
      <c r="N84" s="191"/>
      <c r="O84" s="195"/>
      <c r="P84" s="195"/>
      <c r="Q84" s="191"/>
      <c r="R84" s="194"/>
      <c r="S84" s="34"/>
      <c r="T84" s="34"/>
      <c r="U84" s="188"/>
      <c r="V84" s="195"/>
      <c r="W84" s="195"/>
      <c r="X84" s="191"/>
      <c r="Y84" s="31"/>
      <c r="Z84" s="197"/>
      <c r="AA84" s="191"/>
      <c r="AB84" s="194"/>
      <c r="AC84" s="188"/>
      <c r="AD84" s="195"/>
      <c r="AE84" s="195"/>
      <c r="AF84" s="198"/>
      <c r="AG84" s="195"/>
      <c r="AH84" s="195"/>
      <c r="AI84" s="191"/>
      <c r="AJ84" s="194"/>
      <c r="AK84" s="34"/>
      <c r="AL84" s="34"/>
    </row>
    <row r="85" spans="2:38" x14ac:dyDescent="0.2">
      <c r="B85" s="34"/>
      <c r="C85" s="34"/>
      <c r="D85" s="188"/>
      <c r="E85" s="195"/>
      <c r="F85" s="195"/>
      <c r="G85" s="191"/>
      <c r="H85" s="194"/>
      <c r="I85" s="194"/>
      <c r="J85" s="188"/>
      <c r="K85" s="195"/>
      <c r="L85" s="195"/>
      <c r="M85" s="195"/>
      <c r="N85" s="191"/>
      <c r="O85" s="195"/>
      <c r="P85" s="195"/>
      <c r="Q85" s="191"/>
      <c r="R85" s="194"/>
      <c r="S85" s="34"/>
      <c r="T85" s="34"/>
      <c r="U85" s="188"/>
      <c r="V85" s="195"/>
      <c r="W85" s="195"/>
      <c r="X85" s="191"/>
      <c r="Y85" s="31"/>
      <c r="Z85" s="197"/>
      <c r="AA85" s="191"/>
      <c r="AB85" s="194"/>
      <c r="AC85" s="188"/>
      <c r="AD85" s="195"/>
      <c r="AE85" s="195"/>
      <c r="AF85" s="191"/>
      <c r="AG85" s="195"/>
      <c r="AH85" s="195"/>
      <c r="AI85" s="191"/>
      <c r="AJ85" s="194"/>
      <c r="AK85" s="34"/>
      <c r="AL85" s="34"/>
    </row>
    <row r="86" spans="2:38" x14ac:dyDescent="0.2">
      <c r="B86" s="34"/>
      <c r="C86" s="34"/>
      <c r="D86" s="188"/>
      <c r="E86" s="195"/>
      <c r="F86" s="195"/>
      <c r="G86" s="191"/>
      <c r="H86" s="194"/>
      <c r="I86" s="194"/>
      <c r="J86" s="188"/>
      <c r="K86" s="195"/>
      <c r="L86" s="195"/>
      <c r="M86" s="195"/>
      <c r="N86" s="191"/>
      <c r="O86" s="195"/>
      <c r="P86" s="195"/>
      <c r="Q86" s="191"/>
      <c r="R86" s="194"/>
      <c r="S86" s="34"/>
      <c r="T86" s="34"/>
      <c r="U86" s="188"/>
      <c r="V86" s="195"/>
      <c r="W86" s="195"/>
      <c r="X86" s="191"/>
      <c r="Y86" s="31"/>
      <c r="Z86" s="197"/>
      <c r="AA86" s="191"/>
      <c r="AB86" s="194"/>
      <c r="AC86" s="188"/>
      <c r="AD86" s="195"/>
      <c r="AE86" s="195"/>
      <c r="AF86" s="191"/>
      <c r="AG86" s="195"/>
      <c r="AH86" s="195"/>
      <c r="AI86" s="191"/>
      <c r="AJ86" s="194"/>
      <c r="AK86" s="34"/>
      <c r="AL86" s="34"/>
    </row>
    <row r="87" spans="2:38" x14ac:dyDescent="0.2">
      <c r="B87" s="34"/>
      <c r="C87" s="34"/>
      <c r="D87" s="188"/>
      <c r="E87" s="195"/>
      <c r="F87" s="195"/>
      <c r="G87" s="191"/>
      <c r="H87" s="194"/>
      <c r="I87" s="194"/>
      <c r="J87" s="188"/>
      <c r="K87" s="195"/>
      <c r="L87" s="195"/>
      <c r="M87" s="195"/>
      <c r="N87" s="191"/>
      <c r="O87" s="195"/>
      <c r="P87" s="195"/>
      <c r="Q87" s="191"/>
      <c r="R87" s="194"/>
      <c r="S87" s="34"/>
      <c r="T87" s="34"/>
      <c r="U87" s="188"/>
      <c r="V87" s="195"/>
      <c r="W87" s="195"/>
      <c r="X87" s="191"/>
      <c r="Y87" s="31"/>
      <c r="Z87" s="197"/>
      <c r="AA87" s="191"/>
      <c r="AB87" s="194"/>
      <c r="AC87" s="188"/>
      <c r="AD87" s="195"/>
      <c r="AE87" s="195"/>
      <c r="AF87" s="191"/>
      <c r="AG87" s="195"/>
      <c r="AH87" s="197"/>
      <c r="AI87" s="191"/>
      <c r="AJ87" s="194"/>
    </row>
    <row r="88" spans="2:38" x14ac:dyDescent="0.2">
      <c r="B88" s="34"/>
      <c r="C88" s="34"/>
      <c r="D88" s="188"/>
      <c r="E88" s="195"/>
      <c r="F88" s="195"/>
      <c r="G88" s="191"/>
      <c r="H88" s="194"/>
      <c r="I88" s="194"/>
      <c r="J88" s="188"/>
      <c r="K88" s="195"/>
      <c r="L88" s="195"/>
      <c r="M88" s="195"/>
      <c r="N88" s="191"/>
      <c r="O88" s="195"/>
      <c r="P88" s="195"/>
      <c r="Q88" s="191"/>
      <c r="R88" s="194"/>
      <c r="S88" s="34"/>
      <c r="T88" s="34"/>
      <c r="U88" s="188"/>
      <c r="V88" s="195"/>
      <c r="W88" s="195"/>
      <c r="X88" s="191"/>
      <c r="Y88" s="31"/>
      <c r="Z88" s="197"/>
      <c r="AA88" s="191"/>
      <c r="AB88" s="194"/>
      <c r="AC88" s="188"/>
      <c r="AD88" s="195"/>
      <c r="AE88" s="195"/>
      <c r="AF88" s="191"/>
      <c r="AG88" s="195"/>
      <c r="AH88" s="197"/>
      <c r="AI88" s="191"/>
      <c r="AJ88" s="194"/>
    </row>
    <row r="89" spans="2:38" x14ac:dyDescent="0.2">
      <c r="B89" s="34"/>
      <c r="C89" s="34"/>
      <c r="D89" s="188"/>
      <c r="E89" s="195"/>
      <c r="F89" s="195"/>
      <c r="G89" s="191"/>
      <c r="H89" s="194"/>
      <c r="I89" s="194"/>
      <c r="J89" s="188"/>
      <c r="K89" s="195"/>
      <c r="L89" s="195"/>
      <c r="M89" s="195"/>
      <c r="N89" s="191"/>
      <c r="O89" s="195"/>
      <c r="P89" s="195"/>
      <c r="Q89" s="191"/>
      <c r="R89" s="194"/>
      <c r="S89" s="34"/>
      <c r="T89" s="34"/>
      <c r="U89" s="188"/>
      <c r="V89" s="195"/>
      <c r="W89" s="195"/>
      <c r="X89" s="191"/>
      <c r="Y89" s="31"/>
      <c r="Z89" s="197"/>
      <c r="AA89" s="191"/>
      <c r="AB89" s="194"/>
      <c r="AC89" s="188"/>
      <c r="AD89" s="195"/>
      <c r="AE89" s="195"/>
      <c r="AF89" s="191"/>
      <c r="AG89" s="195"/>
      <c r="AH89" s="197"/>
      <c r="AI89" s="191"/>
      <c r="AJ89" s="194"/>
    </row>
    <row r="90" spans="2:38" x14ac:dyDescent="0.2">
      <c r="B90" s="34"/>
      <c r="C90" s="34"/>
      <c r="D90" s="188"/>
      <c r="E90" s="195"/>
      <c r="F90" s="195"/>
      <c r="G90" s="191"/>
      <c r="H90" s="194"/>
      <c r="I90" s="194"/>
      <c r="J90" s="188"/>
      <c r="K90" s="195"/>
      <c r="L90" s="195"/>
      <c r="M90" s="195"/>
      <c r="N90" s="191"/>
      <c r="O90" s="195"/>
      <c r="P90" s="195"/>
      <c r="Q90" s="191"/>
      <c r="R90" s="194"/>
      <c r="S90" s="34"/>
      <c r="T90" s="34"/>
      <c r="U90" s="188"/>
      <c r="V90" s="195"/>
      <c r="W90" s="195"/>
      <c r="X90" s="191"/>
      <c r="Y90" s="31"/>
      <c r="Z90" s="197"/>
      <c r="AA90" s="191"/>
      <c r="AB90" s="194"/>
      <c r="AC90" s="188"/>
      <c r="AD90" s="195"/>
      <c r="AE90" s="195"/>
      <c r="AF90" s="191"/>
      <c r="AG90" s="195"/>
      <c r="AH90" s="197"/>
      <c r="AI90" s="191"/>
      <c r="AJ90" s="194"/>
    </row>
    <row r="91" spans="2:38" x14ac:dyDescent="0.2">
      <c r="B91" s="34"/>
      <c r="C91" s="34"/>
      <c r="D91" s="188"/>
      <c r="E91" s="195"/>
      <c r="F91" s="195"/>
      <c r="G91" s="191"/>
      <c r="H91" s="194"/>
      <c r="I91" s="194"/>
      <c r="J91" s="188"/>
      <c r="K91" s="195"/>
      <c r="L91" s="195"/>
      <c r="M91" s="195"/>
      <c r="N91" s="191"/>
      <c r="O91" s="195"/>
      <c r="P91" s="195"/>
      <c r="Q91" s="191"/>
      <c r="R91" s="194"/>
      <c r="S91" s="34"/>
      <c r="T91" s="34"/>
      <c r="U91" s="188"/>
      <c r="V91" s="195"/>
      <c r="W91" s="195"/>
      <c r="X91" s="191"/>
      <c r="Y91" s="31"/>
      <c r="Z91" s="197"/>
      <c r="AA91" s="191"/>
      <c r="AB91" s="194"/>
      <c r="AC91" s="188"/>
      <c r="AD91" s="195"/>
      <c r="AE91" s="195"/>
      <c r="AF91" s="191"/>
      <c r="AG91" s="195"/>
      <c r="AH91" s="197"/>
      <c r="AI91" s="191"/>
      <c r="AJ91" s="194"/>
    </row>
    <row r="92" spans="2:38" x14ac:dyDescent="0.2">
      <c r="B92" s="34"/>
      <c r="C92" s="34"/>
      <c r="D92" s="188"/>
      <c r="E92" s="195"/>
      <c r="F92" s="195"/>
      <c r="G92" s="191"/>
      <c r="H92" s="194"/>
      <c r="I92" s="194"/>
      <c r="J92" s="188"/>
      <c r="K92" s="195"/>
      <c r="L92" s="195"/>
      <c r="M92" s="195"/>
      <c r="N92" s="191"/>
      <c r="O92" s="195"/>
      <c r="P92" s="195"/>
      <c r="Q92" s="191"/>
      <c r="R92" s="194"/>
      <c r="S92" s="34"/>
      <c r="T92" s="34"/>
      <c r="U92" s="188"/>
      <c r="V92" s="195"/>
      <c r="W92" s="195"/>
      <c r="X92" s="191"/>
      <c r="Y92" s="31"/>
      <c r="Z92" s="197"/>
      <c r="AA92" s="191"/>
      <c r="AB92" s="194"/>
      <c r="AC92" s="188"/>
      <c r="AD92" s="195"/>
      <c r="AE92" s="195"/>
      <c r="AF92" s="191"/>
      <c r="AG92" s="195"/>
      <c r="AH92" s="197"/>
      <c r="AI92" s="191"/>
      <c r="AJ92" s="194"/>
    </row>
    <row r="93" spans="2:38" x14ac:dyDescent="0.2">
      <c r="B93" s="34"/>
      <c r="C93" s="34"/>
      <c r="D93" s="188"/>
      <c r="E93" s="195"/>
      <c r="F93" s="195"/>
      <c r="G93" s="191"/>
      <c r="H93" s="194"/>
      <c r="I93" s="194"/>
      <c r="J93" s="188"/>
      <c r="K93" s="195"/>
      <c r="L93" s="195"/>
      <c r="M93" s="195"/>
      <c r="N93" s="191"/>
      <c r="O93" s="195"/>
      <c r="P93" s="195"/>
      <c r="Q93" s="191"/>
      <c r="R93" s="194"/>
      <c r="S93" s="34"/>
      <c r="T93" s="34"/>
      <c r="U93" s="188"/>
      <c r="V93" s="195"/>
      <c r="W93" s="195"/>
      <c r="X93" s="191"/>
      <c r="Y93" s="31"/>
      <c r="Z93" s="197"/>
      <c r="AA93" s="191"/>
      <c r="AB93" s="194"/>
      <c r="AC93" s="188"/>
      <c r="AD93" s="195"/>
      <c r="AE93" s="195"/>
      <c r="AF93" s="191"/>
      <c r="AG93" s="195"/>
      <c r="AH93" s="197"/>
      <c r="AI93" s="191"/>
      <c r="AJ93" s="194"/>
    </row>
    <row r="94" spans="2:38" x14ac:dyDescent="0.2">
      <c r="B94" s="34"/>
      <c r="C94" s="34"/>
      <c r="D94" s="188"/>
      <c r="E94" s="195"/>
      <c r="F94" s="195"/>
      <c r="G94" s="191"/>
      <c r="H94" s="194"/>
      <c r="I94" s="194"/>
      <c r="J94" s="188"/>
      <c r="K94" s="195"/>
      <c r="L94" s="195"/>
      <c r="M94" s="195"/>
      <c r="N94" s="191"/>
      <c r="O94" s="195"/>
      <c r="P94" s="195"/>
      <c r="Q94" s="191"/>
      <c r="R94" s="194"/>
      <c r="S94" s="34"/>
      <c r="T94" s="34"/>
      <c r="U94" s="188"/>
      <c r="V94" s="195"/>
      <c r="W94" s="195"/>
      <c r="X94" s="191"/>
      <c r="Y94" s="31"/>
      <c r="Z94" s="197"/>
      <c r="AA94" s="191"/>
      <c r="AB94" s="194"/>
      <c r="AC94" s="188"/>
      <c r="AD94" s="195"/>
      <c r="AE94" s="195"/>
      <c r="AF94" s="191"/>
      <c r="AG94" s="195"/>
      <c r="AH94" s="197"/>
      <c r="AI94" s="191"/>
      <c r="AJ94" s="194"/>
    </row>
    <row r="95" spans="2:38" x14ac:dyDescent="0.2">
      <c r="B95" s="34"/>
      <c r="C95" s="34"/>
      <c r="D95" s="188"/>
      <c r="E95" s="195"/>
      <c r="F95" s="195"/>
      <c r="G95" s="191"/>
      <c r="H95" s="194"/>
      <c r="I95" s="194"/>
      <c r="J95" s="188"/>
      <c r="K95" s="195"/>
      <c r="L95" s="195"/>
      <c r="M95" s="195"/>
      <c r="N95" s="191"/>
      <c r="O95" s="195"/>
      <c r="P95" s="195"/>
      <c r="Q95" s="191"/>
      <c r="R95" s="194"/>
      <c r="S95" s="34"/>
      <c r="T95" s="34"/>
      <c r="U95" s="188"/>
      <c r="V95" s="195"/>
      <c r="W95" s="195"/>
      <c r="X95" s="191"/>
      <c r="Y95" s="31"/>
      <c r="Z95" s="197"/>
      <c r="AA95" s="191"/>
      <c r="AB95" s="194"/>
      <c r="AC95" s="188"/>
      <c r="AD95" s="195"/>
      <c r="AE95" s="195"/>
      <c r="AF95" s="191"/>
      <c r="AG95" s="195"/>
      <c r="AH95" s="197"/>
      <c r="AI95" s="191"/>
      <c r="AJ95" s="194"/>
    </row>
    <row r="96" spans="2:38" x14ac:dyDescent="0.2">
      <c r="B96" s="34"/>
      <c r="C96" s="34"/>
      <c r="D96" s="188"/>
      <c r="E96" s="195"/>
      <c r="F96" s="195"/>
      <c r="G96" s="191"/>
      <c r="H96" s="194"/>
      <c r="I96" s="194"/>
      <c r="J96" s="188"/>
      <c r="K96" s="195"/>
      <c r="L96" s="195"/>
      <c r="M96" s="195"/>
      <c r="N96" s="191"/>
      <c r="O96" s="195"/>
      <c r="P96" s="195"/>
      <c r="Q96" s="191"/>
      <c r="R96" s="194"/>
      <c r="S96" s="34"/>
      <c r="T96" s="34"/>
      <c r="U96" s="188"/>
      <c r="V96" s="195"/>
      <c r="W96" s="195"/>
      <c r="X96" s="191"/>
      <c r="Y96" s="31"/>
      <c r="Z96" s="197"/>
      <c r="AA96" s="191"/>
      <c r="AB96" s="194"/>
      <c r="AC96" s="188"/>
      <c r="AD96" s="195"/>
      <c r="AE96" s="195"/>
      <c r="AF96" s="191"/>
      <c r="AG96" s="195"/>
      <c r="AH96" s="197"/>
      <c r="AI96" s="191"/>
      <c r="AJ96" s="194"/>
    </row>
    <row r="97" spans="2:36" x14ac:dyDescent="0.2">
      <c r="B97" s="34"/>
      <c r="C97" s="34"/>
      <c r="D97" s="188"/>
      <c r="E97" s="195"/>
      <c r="F97" s="195"/>
      <c r="G97" s="191"/>
      <c r="H97" s="194"/>
      <c r="I97" s="194"/>
      <c r="J97" s="188"/>
      <c r="K97" s="195"/>
      <c r="L97" s="195"/>
      <c r="M97" s="195"/>
      <c r="N97" s="191"/>
      <c r="O97" s="195"/>
      <c r="P97" s="195"/>
      <c r="Q97" s="191"/>
      <c r="R97" s="194"/>
      <c r="S97" s="34"/>
      <c r="T97" s="34"/>
      <c r="U97" s="188"/>
      <c r="V97" s="195"/>
      <c r="W97" s="195"/>
      <c r="X97" s="191"/>
      <c r="Y97" s="31"/>
      <c r="Z97" s="197"/>
      <c r="AA97" s="191"/>
      <c r="AB97" s="194"/>
      <c r="AC97" s="188"/>
      <c r="AD97" s="195"/>
      <c r="AE97" s="195"/>
      <c r="AF97" s="191"/>
      <c r="AG97" s="195"/>
      <c r="AH97" s="197"/>
      <c r="AI97" s="191"/>
      <c r="AJ97" s="194"/>
    </row>
    <row r="98" spans="2:36" x14ac:dyDescent="0.2">
      <c r="B98" s="34"/>
      <c r="C98" s="34"/>
      <c r="D98" s="188"/>
      <c r="E98" s="195"/>
      <c r="F98" s="195"/>
      <c r="G98" s="191"/>
      <c r="H98" s="194"/>
      <c r="I98" s="194"/>
      <c r="J98" s="188"/>
      <c r="K98" s="195"/>
      <c r="L98" s="195"/>
      <c r="M98" s="195"/>
      <c r="N98" s="191"/>
      <c r="O98" s="195"/>
      <c r="P98" s="195"/>
      <c r="Q98" s="191"/>
      <c r="R98" s="194"/>
      <c r="S98" s="34"/>
      <c r="T98" s="34"/>
      <c r="U98" s="188"/>
      <c r="V98" s="195"/>
      <c r="W98" s="195"/>
      <c r="X98" s="191"/>
      <c r="Y98" s="31"/>
      <c r="Z98" s="215"/>
      <c r="AA98" s="191"/>
      <c r="AB98" s="194"/>
      <c r="AC98" s="188"/>
      <c r="AD98" s="195"/>
      <c r="AE98" s="195"/>
      <c r="AF98" s="191"/>
      <c r="AG98" s="195"/>
      <c r="AH98" s="197"/>
      <c r="AI98" s="191"/>
      <c r="AJ98" s="194"/>
    </row>
    <row r="99" spans="2:36" x14ac:dyDescent="0.2">
      <c r="B99" s="34"/>
      <c r="C99" s="34"/>
      <c r="D99" s="188"/>
      <c r="E99" s="195"/>
      <c r="F99" s="195"/>
      <c r="G99" s="191"/>
      <c r="H99" s="194"/>
      <c r="I99" s="194"/>
      <c r="J99" s="188"/>
      <c r="K99" s="195"/>
      <c r="L99" s="195"/>
      <c r="M99" s="195"/>
      <c r="N99" s="191"/>
      <c r="O99" s="195"/>
      <c r="P99" s="195"/>
      <c r="Q99" s="191"/>
      <c r="R99" s="194"/>
      <c r="S99" s="34"/>
      <c r="T99" s="34"/>
      <c r="U99" s="188"/>
      <c r="V99" s="195"/>
      <c r="W99" s="195"/>
      <c r="X99" s="191"/>
      <c r="Y99" s="31"/>
      <c r="Z99" s="197"/>
      <c r="AA99" s="191"/>
      <c r="AB99" s="194"/>
      <c r="AC99" s="188"/>
      <c r="AD99" s="195"/>
      <c r="AE99" s="195"/>
      <c r="AF99" s="191"/>
      <c r="AG99" s="195"/>
      <c r="AH99" s="197"/>
      <c r="AI99" s="191"/>
      <c r="AJ99" s="194"/>
    </row>
    <row r="100" spans="2:36" x14ac:dyDescent="0.2">
      <c r="B100" s="34"/>
      <c r="C100" s="34"/>
      <c r="D100" s="188"/>
      <c r="E100" s="195"/>
      <c r="F100" s="195"/>
      <c r="G100" s="191"/>
      <c r="H100" s="194"/>
      <c r="I100" s="194"/>
      <c r="J100" s="188"/>
      <c r="K100" s="195"/>
      <c r="L100" s="195"/>
      <c r="M100" s="195"/>
      <c r="N100" s="191"/>
      <c r="O100" s="195"/>
      <c r="P100" s="195"/>
      <c r="Q100" s="191"/>
      <c r="R100" s="194"/>
      <c r="S100" s="34"/>
      <c r="T100" s="34"/>
      <c r="U100" s="188"/>
      <c r="V100" s="195"/>
      <c r="W100" s="195"/>
      <c r="X100" s="191"/>
      <c r="Y100" s="31"/>
      <c r="Z100" s="197"/>
      <c r="AA100" s="191"/>
      <c r="AB100" s="194"/>
      <c r="AC100" s="188"/>
      <c r="AD100" s="195"/>
      <c r="AE100" s="195"/>
      <c r="AF100" s="191"/>
      <c r="AG100" s="195"/>
      <c r="AH100" s="197"/>
      <c r="AI100" s="191"/>
      <c r="AJ100" s="194"/>
    </row>
    <row r="101" spans="2:36" x14ac:dyDescent="0.2">
      <c r="B101" s="34"/>
      <c r="C101" s="34"/>
      <c r="D101" s="188"/>
      <c r="E101" s="195"/>
      <c r="F101" s="195"/>
      <c r="G101" s="191"/>
      <c r="H101" s="194"/>
      <c r="I101" s="194"/>
      <c r="J101" s="188"/>
      <c r="K101" s="195"/>
      <c r="L101" s="195"/>
      <c r="M101" s="195"/>
      <c r="N101" s="191"/>
      <c r="O101" s="195"/>
      <c r="P101" s="195"/>
      <c r="Q101" s="191"/>
      <c r="R101" s="194"/>
      <c r="S101" s="34"/>
      <c r="T101" s="34"/>
      <c r="U101" s="188"/>
      <c r="V101" s="195"/>
      <c r="W101" s="195"/>
      <c r="X101" s="191"/>
      <c r="Y101" s="31"/>
      <c r="Z101" s="197"/>
      <c r="AA101" s="191"/>
      <c r="AB101" s="194"/>
      <c r="AC101" s="188"/>
      <c r="AD101" s="195"/>
      <c r="AE101" s="195"/>
      <c r="AF101" s="191"/>
      <c r="AG101" s="195"/>
      <c r="AH101" s="197"/>
      <c r="AI101" s="191"/>
      <c r="AJ101" s="194"/>
    </row>
    <row r="102" spans="2:36" x14ac:dyDescent="0.2">
      <c r="B102" s="34"/>
      <c r="C102" s="34"/>
      <c r="D102" s="188"/>
      <c r="E102" s="195"/>
      <c r="F102" s="195"/>
      <c r="G102" s="191"/>
      <c r="H102" s="194"/>
      <c r="I102" s="194"/>
      <c r="J102" s="188"/>
      <c r="K102" s="195"/>
      <c r="L102" s="195"/>
      <c r="M102" s="195"/>
      <c r="N102" s="191"/>
      <c r="O102" s="195"/>
      <c r="P102" s="195"/>
      <c r="Q102" s="191"/>
      <c r="R102" s="194"/>
      <c r="S102" s="34"/>
      <c r="T102" s="34"/>
      <c r="U102" s="188"/>
      <c r="V102" s="195"/>
      <c r="W102" s="195"/>
      <c r="X102" s="191"/>
      <c r="Y102" s="31"/>
      <c r="Z102" s="197"/>
      <c r="AA102" s="191"/>
      <c r="AB102" s="194"/>
      <c r="AC102" s="188"/>
      <c r="AD102" s="195"/>
      <c r="AE102" s="195"/>
      <c r="AF102" s="191"/>
      <c r="AG102" s="195"/>
      <c r="AH102" s="197"/>
      <c r="AI102" s="191"/>
      <c r="AJ102" s="194"/>
    </row>
    <row r="103" spans="2:36" x14ac:dyDescent="0.2">
      <c r="B103" s="34"/>
      <c r="C103" s="34"/>
      <c r="D103" s="188"/>
      <c r="E103" s="195"/>
      <c r="F103" s="195"/>
      <c r="G103" s="191"/>
      <c r="H103" s="194"/>
      <c r="I103" s="194"/>
      <c r="J103" s="188"/>
      <c r="K103" s="195"/>
      <c r="L103" s="195"/>
      <c r="M103" s="195"/>
      <c r="N103" s="191"/>
      <c r="O103" s="195"/>
      <c r="P103" s="195"/>
      <c r="Q103" s="191"/>
      <c r="R103" s="194"/>
      <c r="S103" s="34"/>
      <c r="T103" s="34"/>
      <c r="U103" s="188"/>
      <c r="V103" s="195"/>
      <c r="W103" s="195"/>
      <c r="X103" s="191"/>
      <c r="Y103" s="31"/>
      <c r="Z103" s="197"/>
      <c r="AA103" s="191"/>
      <c r="AB103" s="194"/>
      <c r="AC103" s="188"/>
      <c r="AD103" s="195"/>
      <c r="AE103" s="195"/>
      <c r="AF103" s="191"/>
      <c r="AG103" s="195"/>
      <c r="AH103" s="197"/>
      <c r="AI103" s="191"/>
      <c r="AJ103" s="194"/>
    </row>
    <row r="104" spans="2:36" x14ac:dyDescent="0.2">
      <c r="B104" s="34"/>
      <c r="C104" s="34"/>
      <c r="D104" s="188"/>
      <c r="E104" s="195"/>
      <c r="F104" s="195"/>
      <c r="G104" s="191"/>
      <c r="H104" s="194"/>
      <c r="I104" s="194"/>
      <c r="J104" s="188"/>
      <c r="K104" s="195"/>
      <c r="L104" s="195"/>
      <c r="M104" s="195"/>
      <c r="N104" s="191"/>
      <c r="O104" s="195"/>
      <c r="P104" s="195"/>
      <c r="Q104" s="191"/>
      <c r="R104" s="194"/>
      <c r="S104" s="34"/>
      <c r="T104" s="34"/>
      <c r="U104" s="188"/>
      <c r="V104" s="195"/>
      <c r="W104" s="195"/>
      <c r="X104" s="191"/>
      <c r="Y104" s="31"/>
      <c r="Z104" s="197"/>
      <c r="AA104" s="191"/>
      <c r="AB104" s="194"/>
      <c r="AC104" s="188"/>
      <c r="AD104" s="195"/>
      <c r="AE104" s="195"/>
      <c r="AF104" s="191"/>
      <c r="AG104" s="195"/>
      <c r="AH104" s="197"/>
      <c r="AI104" s="191"/>
      <c r="AJ104" s="194"/>
    </row>
    <row r="105" spans="2:36" x14ac:dyDescent="0.2">
      <c r="B105" s="34"/>
      <c r="C105" s="34"/>
      <c r="D105" s="188"/>
      <c r="E105" s="195"/>
      <c r="F105" s="195"/>
      <c r="G105" s="191"/>
      <c r="H105" s="194"/>
      <c r="I105" s="194"/>
      <c r="J105" s="188"/>
      <c r="K105" s="195"/>
      <c r="L105" s="195"/>
      <c r="M105" s="195"/>
      <c r="N105" s="191"/>
      <c r="O105" s="195"/>
      <c r="P105" s="195"/>
      <c r="Q105" s="191"/>
      <c r="R105" s="194"/>
      <c r="S105" s="34"/>
      <c r="T105" s="34"/>
      <c r="U105" s="188"/>
      <c r="V105" s="195"/>
      <c r="W105" s="195"/>
      <c r="X105" s="191"/>
      <c r="Y105" s="31"/>
      <c r="Z105" s="215"/>
      <c r="AA105" s="191"/>
      <c r="AB105" s="194"/>
      <c r="AC105" s="188"/>
      <c r="AD105" s="195"/>
      <c r="AE105" s="195"/>
      <c r="AF105" s="191"/>
      <c r="AG105" s="195"/>
      <c r="AH105" s="197"/>
      <c r="AI105" s="191"/>
      <c r="AJ105" s="194"/>
    </row>
    <row r="106" spans="2:36" x14ac:dyDescent="0.2">
      <c r="B106" s="34"/>
      <c r="C106" s="34"/>
      <c r="D106" s="188"/>
      <c r="E106" s="195"/>
      <c r="F106" s="195"/>
      <c r="G106" s="191"/>
      <c r="H106" s="194"/>
      <c r="I106" s="194"/>
      <c r="J106" s="188"/>
      <c r="K106" s="195"/>
      <c r="L106" s="195"/>
      <c r="M106" s="195"/>
      <c r="N106" s="191"/>
      <c r="O106" s="195"/>
      <c r="P106" s="195"/>
      <c r="Q106" s="191"/>
      <c r="R106" s="194"/>
      <c r="S106" s="34"/>
      <c r="T106" s="34"/>
      <c r="U106" s="188"/>
      <c r="V106" s="195"/>
      <c r="W106" s="195"/>
      <c r="X106" s="191"/>
      <c r="Y106" s="31"/>
      <c r="Z106" s="215"/>
      <c r="AA106" s="191"/>
      <c r="AB106" s="194"/>
      <c r="AC106" s="188"/>
      <c r="AD106" s="195"/>
      <c r="AE106" s="195"/>
      <c r="AF106" s="191"/>
      <c r="AG106" s="195"/>
      <c r="AH106" s="197"/>
      <c r="AI106" s="191"/>
      <c r="AJ106" s="194"/>
    </row>
    <row r="107" spans="2:36" x14ac:dyDescent="0.2">
      <c r="B107" s="34"/>
      <c r="C107" s="34"/>
      <c r="D107" s="188"/>
      <c r="E107" s="195"/>
      <c r="F107" s="195"/>
      <c r="G107" s="191"/>
      <c r="H107" s="194"/>
      <c r="I107" s="194"/>
      <c r="J107" s="188"/>
      <c r="K107" s="195"/>
      <c r="L107" s="195"/>
      <c r="M107" s="195"/>
      <c r="N107" s="191"/>
      <c r="O107" s="195"/>
      <c r="P107" s="195"/>
      <c r="Q107" s="191"/>
      <c r="R107" s="194"/>
      <c r="S107" s="34"/>
      <c r="T107" s="34"/>
      <c r="U107" s="188"/>
      <c r="V107" s="195"/>
      <c r="W107" s="195"/>
      <c r="X107" s="191"/>
      <c r="Y107" s="31"/>
      <c r="Z107" s="197"/>
      <c r="AA107" s="191"/>
      <c r="AB107" s="194"/>
      <c r="AC107" s="188"/>
      <c r="AD107" s="195"/>
      <c r="AE107" s="195"/>
      <c r="AF107" s="191"/>
      <c r="AG107" s="195"/>
      <c r="AH107" s="197"/>
      <c r="AI107" s="191"/>
      <c r="AJ107" s="194"/>
    </row>
    <row r="108" spans="2:36" x14ac:dyDescent="0.2">
      <c r="B108" s="34"/>
      <c r="C108" s="34"/>
      <c r="D108" s="188"/>
      <c r="E108" s="195"/>
      <c r="F108" s="195"/>
      <c r="G108" s="191"/>
      <c r="H108" s="194"/>
      <c r="I108" s="194"/>
      <c r="J108" s="188"/>
      <c r="K108" s="195"/>
      <c r="L108" s="195"/>
      <c r="M108" s="195"/>
      <c r="N108" s="191"/>
      <c r="O108" s="195"/>
      <c r="P108" s="195"/>
      <c r="Q108" s="191"/>
      <c r="R108" s="194"/>
      <c r="S108" s="34"/>
      <c r="T108" s="34"/>
      <c r="U108" s="188"/>
      <c r="V108" s="195"/>
      <c r="W108" s="195"/>
      <c r="X108" s="191"/>
      <c r="Y108" s="31"/>
      <c r="Z108" s="195"/>
      <c r="AA108" s="191"/>
      <c r="AB108" s="194"/>
      <c r="AC108" s="188"/>
      <c r="AD108" s="195"/>
      <c r="AE108" s="195"/>
      <c r="AF108" s="191"/>
      <c r="AG108" s="195"/>
      <c r="AH108" s="195"/>
      <c r="AI108" s="191"/>
      <c r="AJ108" s="194"/>
    </row>
    <row r="109" spans="2:36" x14ac:dyDescent="0.2">
      <c r="B109" s="34"/>
      <c r="C109" s="34"/>
      <c r="D109" s="188"/>
      <c r="E109" s="195"/>
      <c r="F109" s="195"/>
      <c r="G109" s="191"/>
      <c r="H109" s="194"/>
      <c r="I109" s="194"/>
      <c r="J109" s="188"/>
      <c r="K109" s="195"/>
      <c r="L109" s="195"/>
      <c r="M109" s="195"/>
      <c r="N109" s="191"/>
      <c r="O109" s="195"/>
      <c r="P109" s="195"/>
      <c r="Q109" s="191"/>
      <c r="R109" s="194"/>
      <c r="S109" s="34"/>
      <c r="T109" s="34"/>
      <c r="U109" s="188"/>
      <c r="V109" s="195"/>
      <c r="W109" s="195"/>
      <c r="X109" s="191"/>
      <c r="Y109" s="31"/>
      <c r="Z109" s="195"/>
      <c r="AA109" s="191"/>
      <c r="AB109" s="194"/>
      <c r="AC109" s="188"/>
      <c r="AD109" s="195"/>
      <c r="AE109" s="195"/>
      <c r="AF109" s="191"/>
      <c r="AG109" s="195"/>
      <c r="AH109" s="215"/>
      <c r="AI109" s="191"/>
      <c r="AJ109" s="194"/>
    </row>
    <row r="110" spans="2:36" x14ac:dyDescent="0.2">
      <c r="B110" s="34"/>
      <c r="C110" s="34"/>
      <c r="D110" s="34"/>
      <c r="E110" s="34"/>
      <c r="F110" s="34"/>
      <c r="G110" s="216"/>
      <c r="H110" s="194"/>
      <c r="I110" s="194"/>
      <c r="J110" s="188"/>
      <c r="K110" s="195"/>
      <c r="L110" s="195"/>
      <c r="M110" s="195"/>
      <c r="N110" s="191"/>
      <c r="O110" s="195"/>
      <c r="P110" s="195"/>
      <c r="Q110" s="34"/>
      <c r="R110" s="194"/>
      <c r="S110" s="34"/>
      <c r="T110" s="34"/>
      <c r="U110" s="34"/>
      <c r="V110" s="34"/>
      <c r="W110" s="34"/>
      <c r="X110" s="216"/>
      <c r="Y110" s="216"/>
      <c r="Z110" s="34"/>
      <c r="AA110" s="34"/>
      <c r="AB110" s="34"/>
      <c r="AC110" s="34"/>
      <c r="AD110" s="34"/>
      <c r="AE110" s="34"/>
      <c r="AF110" s="216"/>
      <c r="AG110" s="216"/>
      <c r="AH110" s="34"/>
      <c r="AI110" s="34"/>
      <c r="AJ110" s="194"/>
    </row>
    <row r="111" spans="2:36" x14ac:dyDescent="0.2">
      <c r="B111" s="34"/>
      <c r="C111" s="34"/>
      <c r="D111" s="34"/>
      <c r="E111" s="34"/>
      <c r="F111" s="34"/>
      <c r="G111" s="34"/>
      <c r="H111" s="194"/>
      <c r="I111" s="194"/>
      <c r="J111" s="34"/>
      <c r="K111" s="34"/>
      <c r="L111" s="34"/>
      <c r="M111" s="34"/>
      <c r="N111" s="216"/>
      <c r="O111" s="34"/>
      <c r="P111" s="34"/>
      <c r="Q111" s="34"/>
      <c r="R111" s="194"/>
      <c r="S111" s="34"/>
      <c r="T111" s="34"/>
      <c r="U111" s="34"/>
      <c r="V111" s="34"/>
      <c r="W111" s="34"/>
      <c r="X111" s="34"/>
      <c r="Y111" s="34"/>
      <c r="Z111" s="34"/>
      <c r="AA111" s="34"/>
      <c r="AB111" s="34"/>
      <c r="AC111" s="34"/>
      <c r="AD111" s="34"/>
      <c r="AE111" s="34"/>
      <c r="AF111" s="34"/>
      <c r="AG111" s="34"/>
      <c r="AH111" s="34"/>
      <c r="AI111" s="34"/>
      <c r="AJ111" s="34"/>
    </row>
    <row r="112" spans="2:36" ht="15.75" x14ac:dyDescent="0.25">
      <c r="B112" s="34"/>
      <c r="C112" s="34"/>
      <c r="D112" s="34"/>
      <c r="E112" s="34"/>
      <c r="F112" s="34"/>
      <c r="G112" s="217"/>
      <c r="H112" s="194"/>
      <c r="I112" s="194"/>
      <c r="J112" s="34"/>
      <c r="K112" s="34"/>
      <c r="L112" s="34"/>
      <c r="M112" s="34"/>
      <c r="N112" s="34"/>
      <c r="O112" s="34"/>
      <c r="P112" s="34"/>
      <c r="Q112" s="34"/>
      <c r="R112" s="194"/>
      <c r="S112" s="34"/>
      <c r="T112" s="34"/>
      <c r="U112" s="34"/>
      <c r="V112" s="34"/>
      <c r="W112" s="34"/>
      <c r="X112" s="34"/>
      <c r="Y112" s="34"/>
      <c r="Z112" s="34"/>
      <c r="AA112" s="34"/>
      <c r="AB112" s="34"/>
      <c r="AC112" s="34"/>
      <c r="AD112" s="34"/>
      <c r="AE112" s="34"/>
      <c r="AF112" s="34"/>
      <c r="AG112" s="34"/>
      <c r="AH112" s="34"/>
      <c r="AI112" s="34"/>
      <c r="AJ112" s="34"/>
    </row>
    <row r="113" spans="2:36" x14ac:dyDescent="0.2">
      <c r="B113" s="34"/>
      <c r="C113" s="34"/>
      <c r="D113" s="34"/>
      <c r="E113" s="34"/>
      <c r="F113" s="34"/>
      <c r="G113" s="34"/>
      <c r="H113" s="194"/>
      <c r="I113" s="194"/>
      <c r="J113" s="34"/>
      <c r="K113" s="34"/>
      <c r="L113" s="34"/>
      <c r="M113" s="34"/>
      <c r="N113" s="34"/>
      <c r="O113" s="34"/>
      <c r="P113" s="34"/>
      <c r="Q113" s="34"/>
      <c r="R113" s="194"/>
      <c r="S113" s="34"/>
      <c r="T113" s="34"/>
      <c r="U113" s="34"/>
      <c r="V113" s="34"/>
      <c r="W113" s="34"/>
      <c r="X113" s="34"/>
      <c r="Y113" s="34"/>
      <c r="Z113" s="34"/>
      <c r="AA113" s="34"/>
      <c r="AB113" s="34"/>
      <c r="AC113" s="34"/>
      <c r="AD113" s="34"/>
      <c r="AE113" s="34"/>
      <c r="AF113" s="34"/>
      <c r="AG113" s="34"/>
      <c r="AH113" s="34"/>
      <c r="AI113" s="34"/>
      <c r="AJ113" s="34"/>
    </row>
    <row r="114" spans="2:36" x14ac:dyDescent="0.2">
      <c r="B114" s="34"/>
      <c r="C114" s="34"/>
      <c r="D114" s="157"/>
      <c r="E114" s="158"/>
      <c r="F114" s="34"/>
      <c r="G114" s="34"/>
      <c r="H114" s="158"/>
      <c r="I114" s="194"/>
      <c r="J114" s="34"/>
      <c r="K114" s="34"/>
      <c r="L114" s="34"/>
      <c r="M114" s="34"/>
      <c r="N114" s="34"/>
      <c r="O114" s="34"/>
      <c r="P114" s="34"/>
      <c r="Q114" s="34"/>
      <c r="R114" s="194"/>
      <c r="S114" s="34"/>
      <c r="T114" s="34"/>
      <c r="U114" s="34"/>
      <c r="V114" s="34"/>
      <c r="W114" s="34"/>
      <c r="X114" s="34"/>
      <c r="Y114" s="34"/>
      <c r="Z114" s="34"/>
      <c r="AA114" s="34"/>
      <c r="AB114" s="34"/>
      <c r="AC114" s="34"/>
      <c r="AD114" s="34"/>
      <c r="AE114" s="34"/>
      <c r="AF114" s="34"/>
      <c r="AG114" s="34"/>
      <c r="AH114" s="34"/>
      <c r="AI114" s="34"/>
      <c r="AJ114" s="34"/>
    </row>
    <row r="115" spans="2:36" x14ac:dyDescent="0.2">
      <c r="B115" s="34"/>
      <c r="C115" s="34"/>
      <c r="D115" s="157"/>
      <c r="E115" s="158"/>
      <c r="F115" s="153"/>
      <c r="G115" s="34"/>
      <c r="H115" s="34"/>
      <c r="I115" s="158"/>
      <c r="J115" s="34"/>
      <c r="K115" s="34"/>
      <c r="L115" s="34"/>
      <c r="M115" s="157"/>
      <c r="N115" s="34"/>
      <c r="O115" s="34"/>
      <c r="P115" s="34"/>
      <c r="Q115" s="34"/>
      <c r="R115" s="194"/>
      <c r="S115" s="34"/>
      <c r="T115" s="34"/>
      <c r="U115" s="34"/>
      <c r="V115" s="34"/>
      <c r="W115" s="34"/>
      <c r="X115" s="34"/>
      <c r="Y115" s="34"/>
      <c r="Z115" s="34"/>
      <c r="AA115" s="34"/>
      <c r="AB115" s="34"/>
      <c r="AC115" s="34"/>
      <c r="AD115" s="34"/>
      <c r="AE115" s="34"/>
      <c r="AF115" s="34"/>
      <c r="AG115" s="34"/>
      <c r="AH115" s="34"/>
      <c r="AI115" s="34"/>
      <c r="AJ115" s="34"/>
    </row>
    <row r="116" spans="2:36" x14ac:dyDescent="0.2">
      <c r="B116" s="34"/>
      <c r="C116" s="34"/>
      <c r="D116" s="157"/>
      <c r="E116" s="165"/>
      <c r="F116" s="34"/>
      <c r="G116" s="34"/>
      <c r="H116" s="194"/>
      <c r="I116" s="34"/>
      <c r="J116" s="34"/>
      <c r="K116" s="34"/>
      <c r="L116" s="34"/>
      <c r="M116" s="34"/>
      <c r="N116" s="34"/>
      <c r="O116" s="34"/>
      <c r="P116" s="34"/>
      <c r="Q116" s="34"/>
      <c r="R116" s="194"/>
      <c r="S116" s="34"/>
      <c r="T116" s="34"/>
      <c r="U116" s="34"/>
      <c r="V116" s="34"/>
      <c r="W116" s="34"/>
      <c r="X116" s="34"/>
      <c r="Y116" s="34"/>
      <c r="Z116" s="34"/>
      <c r="AA116" s="34"/>
      <c r="AB116" s="34"/>
      <c r="AC116" s="34"/>
      <c r="AD116" s="34"/>
      <c r="AE116" s="34"/>
      <c r="AF116" s="34"/>
      <c r="AG116" s="34"/>
      <c r="AH116" s="34"/>
      <c r="AI116" s="34"/>
      <c r="AJ116" s="34"/>
    </row>
    <row r="117" spans="2:36" x14ac:dyDescent="0.2">
      <c r="B117" s="34"/>
      <c r="C117" s="34"/>
      <c r="D117" s="157"/>
      <c r="E117" s="165"/>
      <c r="F117" s="34"/>
      <c r="G117" s="34"/>
      <c r="H117" s="194"/>
      <c r="I117" s="194"/>
      <c r="J117" s="157"/>
      <c r="K117" s="218"/>
      <c r="L117" s="218"/>
      <c r="M117" s="34"/>
      <c r="N117" s="34"/>
      <c r="O117" s="34"/>
      <c r="P117" s="34"/>
      <c r="Q117" s="34"/>
      <c r="R117" s="194"/>
      <c r="S117" s="34"/>
      <c r="T117" s="34"/>
      <c r="U117" s="34"/>
      <c r="V117" s="34"/>
      <c r="W117" s="34"/>
      <c r="X117" s="34"/>
      <c r="Y117" s="34"/>
      <c r="Z117" s="34"/>
      <c r="AA117" s="34"/>
      <c r="AB117" s="34"/>
      <c r="AC117" s="34"/>
      <c r="AD117" s="34"/>
      <c r="AE117" s="34"/>
      <c r="AF117" s="34"/>
      <c r="AG117" s="34"/>
      <c r="AH117" s="34"/>
      <c r="AI117" s="34"/>
      <c r="AJ117" s="34"/>
    </row>
    <row r="118" spans="2:36" x14ac:dyDescent="0.2">
      <c r="B118" s="34"/>
      <c r="C118" s="34"/>
      <c r="D118" s="157"/>
      <c r="E118" s="165"/>
      <c r="F118" s="34"/>
      <c r="G118" s="34"/>
      <c r="H118" s="194"/>
      <c r="I118" s="194"/>
      <c r="J118" s="157"/>
      <c r="K118" s="218"/>
      <c r="L118" s="218"/>
      <c r="M118" s="34"/>
      <c r="N118" s="34"/>
      <c r="O118" s="34"/>
      <c r="P118" s="34"/>
      <c r="Q118" s="34"/>
      <c r="R118" s="194"/>
      <c r="S118" s="34"/>
      <c r="T118" s="34"/>
      <c r="U118" s="34"/>
      <c r="V118" s="34"/>
      <c r="W118" s="34"/>
      <c r="X118" s="34"/>
      <c r="Y118" s="34"/>
      <c r="Z118" s="34"/>
      <c r="AA118" s="34"/>
      <c r="AB118" s="34"/>
      <c r="AC118" s="34"/>
      <c r="AD118" s="34"/>
      <c r="AE118" s="34"/>
      <c r="AF118" s="34"/>
      <c r="AG118" s="34"/>
      <c r="AH118" s="34"/>
      <c r="AI118" s="34"/>
      <c r="AJ118" s="34"/>
    </row>
    <row r="119" spans="2:36" x14ac:dyDescent="0.2">
      <c r="B119" s="34"/>
      <c r="C119" s="34"/>
      <c r="D119" s="157"/>
      <c r="E119" s="165"/>
      <c r="F119" s="157"/>
      <c r="G119" s="165"/>
      <c r="H119" s="34"/>
      <c r="I119" s="194"/>
      <c r="J119" s="157"/>
      <c r="K119" s="218"/>
      <c r="L119" s="218"/>
      <c r="M119" s="34"/>
      <c r="N119" s="34"/>
      <c r="O119" s="34"/>
      <c r="P119" s="34"/>
      <c r="Q119" s="34"/>
      <c r="R119" s="194"/>
      <c r="S119" s="34"/>
      <c r="T119" s="34"/>
      <c r="U119" s="34"/>
      <c r="V119" s="34"/>
      <c r="W119" s="34"/>
      <c r="X119" s="34"/>
      <c r="Y119" s="34"/>
      <c r="Z119" s="34"/>
      <c r="AA119" s="34"/>
      <c r="AB119" s="34"/>
      <c r="AC119" s="34"/>
      <c r="AD119" s="34"/>
      <c r="AE119" s="34"/>
      <c r="AF119" s="34"/>
      <c r="AG119" s="34"/>
      <c r="AH119" s="34"/>
      <c r="AI119" s="34"/>
      <c r="AJ119" s="34"/>
    </row>
    <row r="120" spans="2:36" x14ac:dyDescent="0.2">
      <c r="B120" s="34"/>
      <c r="C120" s="34"/>
      <c r="D120" s="34"/>
      <c r="E120" s="34"/>
      <c r="F120" s="34"/>
      <c r="G120" s="34"/>
      <c r="H120" s="194"/>
      <c r="I120" s="34"/>
      <c r="J120" s="157"/>
      <c r="K120" s="165"/>
      <c r="L120" s="165"/>
      <c r="M120" s="34"/>
      <c r="N120" s="34"/>
      <c r="O120" s="34"/>
      <c r="P120" s="34"/>
      <c r="Q120" s="34"/>
      <c r="R120" s="194"/>
      <c r="S120" s="34"/>
      <c r="T120" s="34"/>
      <c r="U120" s="34"/>
      <c r="V120" s="34"/>
      <c r="W120" s="34"/>
      <c r="X120" s="34"/>
      <c r="Y120" s="34"/>
      <c r="Z120" s="34"/>
      <c r="AA120" s="34"/>
      <c r="AB120" s="34"/>
      <c r="AC120" s="34"/>
      <c r="AD120" s="34"/>
      <c r="AE120" s="34"/>
      <c r="AF120" s="34"/>
      <c r="AG120" s="34"/>
      <c r="AH120" s="34"/>
      <c r="AI120" s="34"/>
      <c r="AJ120" s="34"/>
    </row>
    <row r="121" spans="2:36" x14ac:dyDescent="0.2">
      <c r="B121" s="34"/>
      <c r="C121" s="34"/>
      <c r="D121" s="34"/>
      <c r="E121" s="157"/>
      <c r="F121" s="195"/>
      <c r="G121" s="34"/>
      <c r="H121" s="194"/>
      <c r="I121" s="194"/>
      <c r="J121" s="34"/>
      <c r="K121" s="34"/>
      <c r="L121" s="34"/>
      <c r="M121" s="34"/>
      <c r="N121" s="34"/>
      <c r="O121" s="34"/>
      <c r="P121" s="34"/>
      <c r="Q121" s="34"/>
      <c r="R121" s="194"/>
      <c r="S121" s="34"/>
      <c r="T121" s="34"/>
      <c r="U121" s="34"/>
      <c r="V121" s="34"/>
      <c r="W121" s="34"/>
      <c r="X121" s="34"/>
      <c r="Y121" s="34"/>
      <c r="Z121" s="34"/>
      <c r="AA121" s="34"/>
      <c r="AB121" s="34"/>
      <c r="AC121" s="34"/>
      <c r="AD121" s="34"/>
      <c r="AE121" s="34"/>
      <c r="AF121" s="34"/>
      <c r="AG121" s="34"/>
      <c r="AH121" s="34"/>
      <c r="AI121" s="34"/>
      <c r="AJ121" s="34"/>
    </row>
    <row r="122" spans="2:36" x14ac:dyDescent="0.2">
      <c r="B122" s="34"/>
      <c r="C122" s="34"/>
      <c r="D122" s="34"/>
      <c r="E122" s="34"/>
      <c r="F122" s="34"/>
      <c r="G122" s="34"/>
      <c r="H122" s="194"/>
      <c r="I122" s="194"/>
      <c r="J122" s="34"/>
      <c r="K122" s="34"/>
      <c r="L122" s="34"/>
      <c r="M122" s="34"/>
      <c r="N122" s="34"/>
      <c r="O122" s="34"/>
      <c r="P122" s="34"/>
      <c r="Q122" s="34"/>
      <c r="R122" s="194"/>
      <c r="S122" s="34"/>
      <c r="T122" s="34"/>
      <c r="U122" s="34"/>
      <c r="V122" s="34"/>
      <c r="W122" s="34"/>
      <c r="X122" s="34"/>
      <c r="Y122" s="34"/>
      <c r="Z122" s="34"/>
      <c r="AA122" s="34"/>
      <c r="AB122" s="34"/>
      <c r="AC122" s="34"/>
      <c r="AD122" s="34"/>
      <c r="AE122" s="34"/>
      <c r="AF122" s="34"/>
      <c r="AG122" s="34"/>
      <c r="AH122" s="34"/>
      <c r="AI122" s="34"/>
      <c r="AJ122" s="34"/>
    </row>
    <row r="123" spans="2:36" x14ac:dyDescent="0.2">
      <c r="B123" s="34"/>
      <c r="C123" s="34"/>
      <c r="D123" s="34"/>
      <c r="E123" s="34"/>
      <c r="F123" s="34"/>
      <c r="G123" s="34"/>
      <c r="H123" s="194"/>
      <c r="I123" s="194"/>
      <c r="J123" s="34"/>
      <c r="K123" s="34"/>
      <c r="L123" s="34"/>
      <c r="M123" s="34"/>
      <c r="N123" s="34"/>
      <c r="O123" s="34"/>
      <c r="P123" s="34"/>
      <c r="Q123" s="34"/>
      <c r="R123" s="194"/>
      <c r="S123" s="34"/>
      <c r="T123" s="34"/>
      <c r="U123" s="34"/>
      <c r="V123" s="34"/>
      <c r="W123" s="34"/>
      <c r="X123" s="34"/>
      <c r="Y123" s="34"/>
      <c r="Z123" s="34"/>
      <c r="AA123" s="34"/>
      <c r="AB123" s="34"/>
      <c r="AC123" s="34"/>
      <c r="AD123" s="34"/>
      <c r="AE123" s="34"/>
      <c r="AF123" s="34"/>
      <c r="AG123" s="34"/>
      <c r="AH123" s="34"/>
      <c r="AI123" s="34"/>
      <c r="AJ123" s="34"/>
    </row>
    <row r="124" spans="2:36" x14ac:dyDescent="0.2">
      <c r="B124" s="34"/>
      <c r="C124" s="34"/>
      <c r="D124" s="34"/>
      <c r="E124" s="34"/>
      <c r="F124" s="34"/>
      <c r="G124" s="34"/>
      <c r="H124" s="194"/>
      <c r="I124" s="194"/>
      <c r="J124" s="34"/>
      <c r="K124" s="34"/>
      <c r="L124" s="34"/>
      <c r="M124" s="34"/>
      <c r="N124" s="34"/>
      <c r="O124" s="34"/>
      <c r="P124" s="34"/>
      <c r="Q124" s="34"/>
      <c r="R124" s="194"/>
      <c r="S124" s="34"/>
      <c r="T124" s="34"/>
      <c r="U124" s="34"/>
      <c r="V124" s="34"/>
      <c r="W124" s="34"/>
      <c r="X124" s="34"/>
      <c r="Y124" s="34"/>
      <c r="Z124" s="34"/>
      <c r="AA124" s="34"/>
      <c r="AB124" s="34"/>
      <c r="AC124" s="34"/>
      <c r="AD124" s="34"/>
      <c r="AE124" s="34"/>
      <c r="AF124" s="34"/>
      <c r="AG124" s="34"/>
      <c r="AH124" s="34"/>
      <c r="AI124" s="34"/>
      <c r="AJ124" s="34"/>
    </row>
    <row r="125" spans="2:36" x14ac:dyDescent="0.2">
      <c r="B125" s="34"/>
      <c r="C125" s="34"/>
      <c r="D125" s="34"/>
      <c r="E125" s="34"/>
      <c r="F125" s="34"/>
      <c r="G125" s="34"/>
      <c r="H125" s="194"/>
      <c r="I125" s="194"/>
      <c r="J125" s="34"/>
      <c r="K125" s="34"/>
      <c r="L125" s="34"/>
      <c r="M125" s="34"/>
      <c r="N125" s="34"/>
      <c r="O125" s="34"/>
      <c r="P125" s="34"/>
      <c r="Q125" s="34"/>
      <c r="R125" s="194"/>
      <c r="S125" s="34"/>
      <c r="T125" s="34"/>
      <c r="U125" s="34"/>
      <c r="V125" s="34"/>
      <c r="W125" s="34"/>
      <c r="X125" s="34"/>
      <c r="Y125" s="34"/>
      <c r="Z125" s="34"/>
      <c r="AA125" s="34"/>
      <c r="AB125" s="34"/>
      <c r="AC125" s="34"/>
      <c r="AD125" s="34"/>
      <c r="AE125" s="34"/>
      <c r="AF125" s="34"/>
      <c r="AG125" s="34"/>
      <c r="AH125" s="34"/>
      <c r="AI125" s="34"/>
      <c r="AJ125" s="34"/>
    </row>
    <row r="126" spans="2:36" x14ac:dyDescent="0.2">
      <c r="B126" s="34"/>
      <c r="C126" s="34"/>
      <c r="D126" s="34"/>
      <c r="E126" s="34"/>
      <c r="F126" s="34"/>
      <c r="G126" s="34"/>
      <c r="H126" s="194"/>
      <c r="I126" s="194"/>
      <c r="J126" s="34"/>
      <c r="K126" s="34"/>
      <c r="L126" s="34"/>
      <c r="M126" s="34"/>
      <c r="N126" s="34"/>
      <c r="O126" s="34"/>
      <c r="P126" s="34"/>
      <c r="Q126" s="34"/>
      <c r="R126" s="194"/>
      <c r="S126" s="34"/>
      <c r="T126" s="34"/>
      <c r="U126" s="34"/>
      <c r="V126" s="34"/>
      <c r="W126" s="34"/>
      <c r="X126" s="34"/>
      <c r="Y126" s="34"/>
      <c r="Z126" s="34"/>
      <c r="AA126" s="34"/>
      <c r="AB126" s="34"/>
      <c r="AC126" s="34"/>
      <c r="AD126" s="34"/>
      <c r="AE126" s="34"/>
      <c r="AF126" s="34"/>
      <c r="AG126" s="34"/>
      <c r="AH126" s="34"/>
      <c r="AI126" s="34"/>
      <c r="AJ126" s="34"/>
    </row>
    <row r="127" spans="2:36" x14ac:dyDescent="0.2">
      <c r="B127" s="34"/>
      <c r="C127" s="34"/>
      <c r="D127" s="34"/>
      <c r="E127" s="34"/>
      <c r="F127" s="34"/>
      <c r="G127" s="34"/>
      <c r="H127" s="194"/>
      <c r="I127" s="194"/>
      <c r="J127" s="34"/>
      <c r="K127" s="34"/>
      <c r="L127" s="34"/>
      <c r="M127" s="34"/>
      <c r="N127" s="34"/>
      <c r="O127" s="34"/>
      <c r="P127" s="34"/>
      <c r="Q127" s="34"/>
      <c r="R127" s="194"/>
      <c r="S127" s="34"/>
      <c r="T127" s="34"/>
      <c r="U127" s="34"/>
      <c r="V127" s="34"/>
      <c r="W127" s="34"/>
      <c r="X127" s="34"/>
      <c r="Y127" s="34"/>
      <c r="Z127" s="34"/>
      <c r="AA127" s="34"/>
      <c r="AB127" s="34"/>
      <c r="AC127" s="34"/>
      <c r="AD127" s="34"/>
      <c r="AE127" s="34"/>
      <c r="AF127" s="34"/>
      <c r="AG127" s="34"/>
      <c r="AH127" s="34"/>
      <c r="AI127" s="34"/>
      <c r="AJ127" s="34"/>
    </row>
    <row r="128" spans="2:36" x14ac:dyDescent="0.2">
      <c r="B128" s="34"/>
      <c r="C128" s="34"/>
      <c r="D128" s="34"/>
      <c r="E128" s="34"/>
      <c r="F128" s="34"/>
      <c r="G128" s="34"/>
      <c r="H128" s="194"/>
      <c r="I128" s="194"/>
      <c r="J128" s="34"/>
      <c r="K128" s="34"/>
      <c r="L128" s="34"/>
      <c r="M128" s="34"/>
      <c r="N128" s="34"/>
      <c r="O128" s="34"/>
      <c r="P128" s="34"/>
      <c r="Q128" s="34"/>
      <c r="R128" s="194"/>
      <c r="S128" s="34"/>
      <c r="T128" s="34"/>
      <c r="U128" s="34"/>
      <c r="V128" s="34"/>
      <c r="W128" s="34"/>
      <c r="X128" s="34"/>
      <c r="Y128" s="34"/>
      <c r="Z128" s="34"/>
      <c r="AA128" s="34"/>
      <c r="AB128" s="34"/>
      <c r="AC128" s="34"/>
      <c r="AD128" s="34"/>
      <c r="AE128" s="34"/>
      <c r="AF128" s="34"/>
      <c r="AG128" s="34"/>
      <c r="AH128" s="34"/>
      <c r="AI128" s="34"/>
      <c r="AJ128" s="34"/>
    </row>
    <row r="129" spans="2:36" x14ac:dyDescent="0.2">
      <c r="B129" s="34"/>
      <c r="C129" s="34"/>
      <c r="D129" s="34"/>
      <c r="E129" s="34"/>
      <c r="F129" s="34"/>
      <c r="G129" s="34"/>
      <c r="H129" s="194"/>
      <c r="I129" s="194"/>
      <c r="J129" s="34"/>
      <c r="K129" s="34"/>
      <c r="L129" s="34"/>
      <c r="M129" s="34"/>
      <c r="N129" s="34"/>
      <c r="O129" s="34"/>
      <c r="P129" s="34"/>
      <c r="Q129" s="34"/>
      <c r="R129" s="194"/>
      <c r="S129" s="34"/>
      <c r="T129" s="34"/>
      <c r="U129" s="34"/>
      <c r="V129" s="34"/>
      <c r="W129" s="34"/>
      <c r="X129" s="34"/>
      <c r="Y129" s="34"/>
      <c r="Z129" s="34"/>
      <c r="AA129" s="34"/>
      <c r="AB129" s="34"/>
      <c r="AC129" s="34"/>
      <c r="AD129" s="34"/>
      <c r="AE129" s="34"/>
      <c r="AF129" s="34"/>
      <c r="AG129" s="34"/>
      <c r="AH129" s="34"/>
      <c r="AI129" s="34"/>
      <c r="AJ129" s="34"/>
    </row>
    <row r="130" spans="2:36" x14ac:dyDescent="0.2">
      <c r="B130" s="34"/>
      <c r="C130" s="34"/>
      <c r="D130" s="34"/>
      <c r="E130" s="34"/>
      <c r="F130" s="34"/>
      <c r="G130" s="34"/>
      <c r="H130" s="194"/>
      <c r="I130" s="194"/>
      <c r="J130" s="34"/>
      <c r="K130" s="34"/>
      <c r="L130" s="34"/>
      <c r="M130" s="34"/>
      <c r="N130" s="34"/>
      <c r="O130" s="34"/>
      <c r="P130" s="34"/>
      <c r="Q130" s="34"/>
      <c r="R130" s="194"/>
      <c r="S130" s="34"/>
      <c r="T130" s="34"/>
      <c r="U130" s="34"/>
      <c r="V130" s="34"/>
      <c r="W130" s="34"/>
      <c r="X130" s="34"/>
      <c r="Y130" s="34"/>
      <c r="Z130" s="34"/>
      <c r="AA130" s="34"/>
      <c r="AB130" s="34"/>
      <c r="AC130" s="34"/>
      <c r="AD130" s="34"/>
      <c r="AE130" s="34"/>
      <c r="AF130" s="34"/>
      <c r="AG130" s="34"/>
      <c r="AH130" s="34"/>
      <c r="AI130" s="34"/>
      <c r="AJ130" s="34"/>
    </row>
    <row r="131" spans="2:36" x14ac:dyDescent="0.2">
      <c r="B131" s="34"/>
      <c r="C131" s="34"/>
      <c r="D131" s="34"/>
      <c r="E131" s="34"/>
      <c r="F131" s="34"/>
      <c r="G131" s="34"/>
      <c r="H131" s="194"/>
      <c r="I131" s="194"/>
      <c r="J131" s="34"/>
      <c r="K131" s="34"/>
      <c r="L131" s="34"/>
      <c r="M131" s="34"/>
      <c r="N131" s="34"/>
      <c r="O131" s="34"/>
      <c r="P131" s="34"/>
      <c r="Q131" s="34"/>
      <c r="R131" s="194"/>
      <c r="S131" s="34"/>
      <c r="T131" s="34"/>
      <c r="U131" s="34"/>
      <c r="V131" s="34"/>
      <c r="W131" s="34"/>
      <c r="X131" s="34"/>
      <c r="Y131" s="34"/>
      <c r="Z131" s="34"/>
      <c r="AA131" s="34"/>
      <c r="AB131" s="34"/>
      <c r="AC131" s="34"/>
      <c r="AD131" s="34"/>
      <c r="AE131" s="34"/>
      <c r="AF131" s="34"/>
      <c r="AG131" s="34"/>
      <c r="AH131" s="34"/>
      <c r="AI131" s="34"/>
      <c r="AJ131" s="34"/>
    </row>
    <row r="132" spans="2:36" x14ac:dyDescent="0.2">
      <c r="B132" s="34"/>
      <c r="C132" s="34"/>
      <c r="D132" s="34"/>
      <c r="E132" s="34"/>
      <c r="F132" s="34"/>
      <c r="G132" s="34"/>
      <c r="H132" s="194"/>
      <c r="I132" s="194"/>
      <c r="J132" s="34"/>
      <c r="K132" s="34"/>
      <c r="L132" s="34"/>
      <c r="M132" s="34"/>
      <c r="N132" s="34"/>
      <c r="O132" s="34"/>
      <c r="P132" s="34"/>
      <c r="Q132" s="34"/>
      <c r="R132" s="194"/>
      <c r="S132" s="34"/>
      <c r="T132" s="34"/>
      <c r="U132" s="34"/>
      <c r="V132" s="34"/>
      <c r="W132" s="34"/>
      <c r="X132" s="34"/>
      <c r="Y132" s="34"/>
      <c r="Z132" s="34"/>
      <c r="AA132" s="34"/>
      <c r="AB132" s="34"/>
      <c r="AC132" s="34"/>
      <c r="AD132" s="34"/>
      <c r="AE132" s="34"/>
      <c r="AF132" s="34"/>
      <c r="AG132" s="34"/>
      <c r="AH132" s="34"/>
      <c r="AI132" s="34"/>
      <c r="AJ132" s="34"/>
    </row>
    <row r="133" spans="2:36" x14ac:dyDescent="0.2">
      <c r="B133" s="34"/>
      <c r="C133" s="34"/>
      <c r="D133" s="34"/>
      <c r="E133" s="34"/>
      <c r="F133" s="34"/>
      <c r="G133" s="34"/>
      <c r="H133" s="194"/>
      <c r="I133" s="194"/>
      <c r="J133" s="34"/>
      <c r="K133" s="34"/>
      <c r="L133" s="34"/>
      <c r="M133" s="34"/>
      <c r="N133" s="34"/>
      <c r="O133" s="34"/>
      <c r="P133" s="34"/>
      <c r="Q133" s="34"/>
      <c r="R133" s="194"/>
      <c r="S133" s="34"/>
      <c r="T133" s="34"/>
      <c r="U133" s="34"/>
      <c r="V133" s="34"/>
      <c r="W133" s="34"/>
      <c r="X133" s="34"/>
      <c r="Y133" s="34"/>
      <c r="Z133" s="34"/>
      <c r="AA133" s="34"/>
      <c r="AB133" s="34"/>
      <c r="AC133" s="34"/>
      <c r="AD133" s="34"/>
      <c r="AE133" s="34"/>
      <c r="AF133" s="34"/>
      <c r="AG133" s="34"/>
      <c r="AH133" s="34"/>
      <c r="AI133" s="34"/>
      <c r="AJ133" s="34"/>
    </row>
    <row r="134" spans="2:36" x14ac:dyDescent="0.2">
      <c r="B134" s="34"/>
      <c r="C134" s="34"/>
      <c r="D134" s="34"/>
      <c r="E134" s="34"/>
      <c r="F134" s="34"/>
      <c r="G134" s="34"/>
      <c r="H134" s="194"/>
      <c r="I134" s="194"/>
      <c r="J134" s="34"/>
      <c r="K134" s="34"/>
      <c r="L134" s="34"/>
      <c r="M134" s="34"/>
      <c r="N134" s="34"/>
      <c r="O134" s="34"/>
      <c r="P134" s="34"/>
      <c r="Q134" s="34"/>
      <c r="R134" s="194"/>
      <c r="S134" s="34"/>
      <c r="T134" s="34"/>
      <c r="U134" s="34"/>
      <c r="V134" s="34"/>
      <c r="W134" s="34"/>
      <c r="X134" s="34"/>
      <c r="Y134" s="34"/>
      <c r="Z134" s="34"/>
      <c r="AA134" s="34"/>
      <c r="AB134" s="34"/>
      <c r="AC134" s="34"/>
      <c r="AD134" s="34"/>
      <c r="AE134" s="34"/>
      <c r="AF134" s="34"/>
      <c r="AG134" s="34"/>
      <c r="AH134" s="34"/>
      <c r="AI134" s="34"/>
      <c r="AJ134" s="34"/>
    </row>
    <row r="135" spans="2:36" x14ac:dyDescent="0.2">
      <c r="B135" s="34"/>
      <c r="C135" s="34"/>
      <c r="D135" s="34"/>
      <c r="E135" s="34"/>
      <c r="F135" s="34"/>
      <c r="G135" s="34"/>
      <c r="H135" s="194"/>
      <c r="I135" s="194"/>
      <c r="J135" s="34"/>
      <c r="K135" s="34"/>
      <c r="L135" s="34"/>
      <c r="M135" s="34"/>
      <c r="N135" s="34"/>
      <c r="O135" s="34"/>
      <c r="P135" s="34"/>
      <c r="Q135" s="34"/>
      <c r="R135" s="194"/>
      <c r="S135" s="34"/>
      <c r="T135" s="34"/>
      <c r="U135" s="34"/>
      <c r="V135" s="34"/>
      <c r="W135" s="34"/>
      <c r="X135" s="34"/>
      <c r="Y135" s="34"/>
      <c r="Z135" s="34"/>
      <c r="AA135" s="34"/>
      <c r="AB135" s="34"/>
      <c r="AC135" s="34"/>
      <c r="AD135" s="34"/>
      <c r="AE135" s="34"/>
      <c r="AF135" s="34"/>
      <c r="AG135" s="34"/>
      <c r="AH135" s="34"/>
      <c r="AI135" s="34"/>
      <c r="AJ135" s="34"/>
    </row>
    <row r="136" spans="2:36" x14ac:dyDescent="0.2">
      <c r="B136" s="34"/>
      <c r="C136" s="34"/>
      <c r="D136" s="157"/>
      <c r="E136" s="34"/>
      <c r="F136" s="34"/>
      <c r="G136" s="34"/>
      <c r="H136" s="194"/>
      <c r="I136" s="194"/>
      <c r="J136" s="34"/>
      <c r="K136" s="34"/>
      <c r="L136" s="34"/>
      <c r="M136" s="34"/>
      <c r="N136" s="34"/>
      <c r="O136" s="34"/>
      <c r="P136" s="34"/>
      <c r="Q136" s="34"/>
      <c r="R136" s="194"/>
      <c r="S136" s="34"/>
      <c r="T136" s="34"/>
      <c r="U136" s="34"/>
      <c r="V136" s="34"/>
      <c r="W136" s="34"/>
      <c r="X136" s="34"/>
      <c r="Y136" s="34"/>
      <c r="Z136" s="34"/>
      <c r="AA136" s="34"/>
      <c r="AB136" s="34"/>
      <c r="AC136" s="34"/>
      <c r="AD136" s="34"/>
      <c r="AE136" s="34"/>
      <c r="AF136" s="34"/>
      <c r="AG136" s="34"/>
      <c r="AH136" s="34"/>
      <c r="AI136" s="34"/>
      <c r="AJ136" s="34"/>
    </row>
    <row r="137" spans="2:36" x14ac:dyDescent="0.2">
      <c r="B137" s="34"/>
      <c r="C137" s="34"/>
      <c r="D137" s="34"/>
      <c r="E137" s="34"/>
      <c r="F137" s="34"/>
      <c r="G137" s="34"/>
      <c r="H137" s="194"/>
      <c r="I137" s="194"/>
      <c r="J137" s="157"/>
      <c r="K137" s="34"/>
      <c r="L137" s="34"/>
      <c r="M137" s="34"/>
      <c r="N137" s="34"/>
      <c r="O137" s="34"/>
      <c r="P137" s="34"/>
      <c r="Q137" s="34"/>
      <c r="R137" s="194"/>
      <c r="S137" s="34"/>
      <c r="T137" s="34"/>
      <c r="U137" s="34"/>
      <c r="V137" s="34"/>
      <c r="W137" s="34"/>
      <c r="X137" s="34"/>
      <c r="Y137" s="34"/>
      <c r="Z137" s="34"/>
      <c r="AA137" s="34"/>
      <c r="AB137" s="34"/>
      <c r="AC137" s="34"/>
      <c r="AD137" s="34"/>
      <c r="AE137" s="34"/>
      <c r="AF137" s="34"/>
      <c r="AG137" s="34"/>
      <c r="AH137" s="34"/>
      <c r="AI137" s="34"/>
      <c r="AJ137" s="34"/>
    </row>
    <row r="138" spans="2:36" x14ac:dyDescent="0.2">
      <c r="B138" s="34"/>
      <c r="C138" s="34"/>
      <c r="D138" s="157"/>
      <c r="E138" s="34"/>
      <c r="F138" s="34"/>
      <c r="G138" s="34"/>
      <c r="H138" s="194"/>
      <c r="I138" s="194"/>
      <c r="J138" s="34"/>
      <c r="K138" s="34"/>
      <c r="L138" s="34"/>
      <c r="M138" s="34"/>
      <c r="N138" s="34"/>
      <c r="O138" s="34"/>
      <c r="P138" s="34"/>
      <c r="Q138" s="34"/>
      <c r="R138" s="194"/>
      <c r="S138" s="34"/>
      <c r="T138" s="34"/>
      <c r="U138" s="34"/>
      <c r="V138" s="34"/>
      <c r="W138" s="34"/>
      <c r="X138" s="34"/>
      <c r="Y138" s="34"/>
      <c r="Z138" s="34"/>
      <c r="AA138" s="34"/>
      <c r="AB138" s="34"/>
      <c r="AC138" s="34"/>
      <c r="AD138" s="34"/>
      <c r="AE138" s="34"/>
      <c r="AF138" s="34"/>
      <c r="AG138" s="34"/>
      <c r="AH138" s="34"/>
      <c r="AI138" s="34"/>
      <c r="AJ138" s="34"/>
    </row>
    <row r="139" spans="2:36" x14ac:dyDescent="0.2">
      <c r="B139" s="34"/>
      <c r="C139" s="34"/>
      <c r="D139" s="34"/>
      <c r="E139" s="34"/>
      <c r="F139" s="34"/>
      <c r="G139" s="34"/>
      <c r="H139" s="194"/>
      <c r="I139" s="194"/>
      <c r="J139" s="157"/>
      <c r="K139" s="34"/>
      <c r="L139" s="34"/>
      <c r="M139" s="34"/>
      <c r="N139" s="34"/>
      <c r="O139" s="34"/>
      <c r="P139" s="34"/>
      <c r="Q139" s="34"/>
      <c r="R139" s="194"/>
      <c r="S139" s="34"/>
      <c r="T139" s="34"/>
      <c r="U139" s="34"/>
      <c r="V139" s="34"/>
      <c r="W139" s="34"/>
      <c r="X139" s="34"/>
      <c r="Y139" s="34"/>
      <c r="Z139" s="34"/>
      <c r="AA139" s="34"/>
      <c r="AB139" s="34"/>
      <c r="AC139" s="34"/>
      <c r="AD139" s="34"/>
      <c r="AE139" s="34"/>
      <c r="AF139" s="34"/>
      <c r="AG139" s="34"/>
      <c r="AH139" s="34"/>
      <c r="AI139" s="34"/>
      <c r="AJ139" s="34"/>
    </row>
    <row r="140" spans="2:36" x14ac:dyDescent="0.2">
      <c r="B140" s="34"/>
      <c r="C140" s="34"/>
      <c r="D140" s="157"/>
      <c r="E140" s="34"/>
      <c r="F140" s="34"/>
      <c r="G140" s="34"/>
      <c r="H140" s="194"/>
      <c r="I140" s="194"/>
      <c r="J140" s="157"/>
      <c r="K140" s="34"/>
      <c r="L140" s="34"/>
      <c r="M140" s="34"/>
      <c r="N140" s="34"/>
      <c r="O140" s="34"/>
      <c r="P140" s="34"/>
      <c r="Q140" s="34"/>
      <c r="R140" s="194"/>
      <c r="S140" s="34"/>
      <c r="T140" s="34"/>
      <c r="U140" s="34"/>
      <c r="V140" s="34"/>
      <c r="W140" s="34"/>
      <c r="X140" s="34"/>
      <c r="Y140" s="34"/>
      <c r="Z140" s="34"/>
      <c r="AA140" s="34"/>
      <c r="AB140" s="34"/>
      <c r="AC140" s="34"/>
      <c r="AD140" s="34"/>
      <c r="AE140" s="34"/>
      <c r="AF140" s="34"/>
      <c r="AG140" s="34"/>
      <c r="AH140" s="34"/>
      <c r="AI140" s="34"/>
      <c r="AJ140" s="34"/>
    </row>
    <row r="141" spans="2:36" x14ac:dyDescent="0.2">
      <c r="B141" s="34"/>
      <c r="C141" s="34"/>
      <c r="D141" s="34"/>
      <c r="E141" s="34"/>
      <c r="F141" s="34"/>
      <c r="G141" s="34"/>
      <c r="H141" s="194"/>
      <c r="I141" s="194"/>
      <c r="J141" s="157"/>
      <c r="K141" s="34"/>
      <c r="L141" s="34"/>
      <c r="M141" s="34"/>
      <c r="N141" s="34"/>
      <c r="O141" s="34"/>
      <c r="P141" s="34"/>
      <c r="Q141" s="34"/>
      <c r="R141" s="194"/>
      <c r="S141" s="34"/>
      <c r="T141" s="34"/>
      <c r="U141" s="34"/>
      <c r="V141" s="34"/>
      <c r="W141" s="34"/>
      <c r="X141" s="34"/>
      <c r="Y141" s="34"/>
      <c r="Z141" s="34"/>
      <c r="AA141" s="34"/>
      <c r="AB141" s="34"/>
      <c r="AC141" s="34"/>
      <c r="AD141" s="34"/>
      <c r="AE141" s="34"/>
      <c r="AF141" s="34"/>
      <c r="AG141" s="34"/>
      <c r="AH141" s="34"/>
      <c r="AI141" s="34"/>
      <c r="AJ141" s="34"/>
    </row>
    <row r="142" spans="2:36" x14ac:dyDescent="0.2">
      <c r="B142" s="34"/>
      <c r="C142" s="34"/>
      <c r="D142" s="34"/>
      <c r="E142" s="34"/>
      <c r="F142" s="34"/>
      <c r="G142" s="34"/>
      <c r="H142" s="194"/>
      <c r="I142" s="194"/>
      <c r="J142" s="34"/>
      <c r="K142" s="34"/>
      <c r="L142" s="34"/>
      <c r="M142" s="34"/>
      <c r="N142" s="34"/>
      <c r="O142" s="34"/>
      <c r="P142" s="34"/>
      <c r="Q142" s="34"/>
      <c r="R142" s="194"/>
      <c r="S142" s="34"/>
      <c r="T142" s="34"/>
      <c r="U142" s="34"/>
      <c r="V142" s="34"/>
      <c r="W142" s="34"/>
      <c r="X142" s="34"/>
      <c r="Y142" s="34"/>
      <c r="Z142" s="34"/>
      <c r="AA142" s="34"/>
      <c r="AB142" s="34"/>
      <c r="AC142" s="34"/>
      <c r="AD142" s="34"/>
      <c r="AE142" s="34"/>
      <c r="AF142" s="34"/>
      <c r="AG142" s="34"/>
      <c r="AH142" s="34"/>
      <c r="AI142" s="34"/>
      <c r="AJ142" s="34"/>
    </row>
    <row r="143" spans="2:36" x14ac:dyDescent="0.2">
      <c r="B143" s="34"/>
      <c r="C143" s="34"/>
      <c r="D143" s="34"/>
      <c r="E143" s="34"/>
      <c r="F143" s="34"/>
      <c r="G143" s="34"/>
      <c r="H143" s="194"/>
      <c r="I143" s="194"/>
      <c r="J143" s="34"/>
      <c r="K143" s="34"/>
      <c r="L143" s="34"/>
      <c r="M143" s="34"/>
      <c r="N143" s="34"/>
      <c r="O143" s="34"/>
      <c r="P143" s="34"/>
      <c r="Q143" s="34"/>
      <c r="R143" s="194"/>
      <c r="S143" s="34"/>
      <c r="T143" s="34"/>
      <c r="U143" s="34"/>
      <c r="V143" s="34"/>
      <c r="W143" s="34"/>
      <c r="X143" s="34"/>
      <c r="Y143" s="34"/>
      <c r="Z143" s="34"/>
      <c r="AA143" s="34"/>
      <c r="AB143" s="34"/>
      <c r="AC143" s="34"/>
      <c r="AD143" s="34"/>
      <c r="AE143" s="34"/>
      <c r="AF143" s="34"/>
      <c r="AG143" s="34"/>
      <c r="AH143" s="34"/>
      <c r="AI143" s="34"/>
      <c r="AJ143" s="34"/>
    </row>
    <row r="144" spans="2:36" x14ac:dyDescent="0.2">
      <c r="B144" s="34"/>
      <c r="C144" s="34"/>
      <c r="D144" s="34"/>
      <c r="E144" s="34"/>
      <c r="F144" s="34"/>
      <c r="G144" s="34"/>
      <c r="H144" s="194"/>
      <c r="I144" s="194"/>
      <c r="J144" s="34"/>
      <c r="K144" s="34"/>
      <c r="L144" s="34"/>
      <c r="M144" s="34"/>
      <c r="N144" s="34"/>
      <c r="O144" s="34"/>
      <c r="P144" s="34"/>
      <c r="Q144" s="34"/>
      <c r="R144" s="194"/>
      <c r="S144" s="34"/>
      <c r="T144" s="34"/>
      <c r="U144" s="34"/>
      <c r="V144" s="34"/>
      <c r="W144" s="34"/>
      <c r="X144" s="34"/>
      <c r="Y144" s="34"/>
      <c r="Z144" s="34"/>
      <c r="AA144" s="34"/>
      <c r="AB144" s="34"/>
      <c r="AC144" s="34"/>
      <c r="AD144" s="34"/>
      <c r="AE144" s="34"/>
      <c r="AF144" s="34"/>
      <c r="AG144" s="34"/>
      <c r="AH144" s="34"/>
      <c r="AI144" s="34"/>
      <c r="AJ144" s="34"/>
    </row>
    <row r="145" spans="2:36" x14ac:dyDescent="0.2">
      <c r="B145" s="34"/>
      <c r="C145" s="34"/>
      <c r="D145" s="34"/>
      <c r="E145" s="34"/>
      <c r="F145" s="34"/>
      <c r="G145" s="34"/>
      <c r="H145" s="194"/>
      <c r="I145" s="194"/>
      <c r="J145" s="34"/>
      <c r="K145" s="34"/>
      <c r="L145" s="34"/>
      <c r="M145" s="34"/>
      <c r="N145" s="34"/>
      <c r="O145" s="34"/>
      <c r="P145" s="34"/>
      <c r="Q145" s="34"/>
      <c r="R145" s="194"/>
      <c r="S145" s="34"/>
      <c r="T145" s="34"/>
      <c r="U145" s="34"/>
      <c r="V145" s="34"/>
      <c r="W145" s="34"/>
      <c r="X145" s="34"/>
      <c r="Y145" s="34"/>
      <c r="Z145" s="34"/>
      <c r="AA145" s="34"/>
      <c r="AB145" s="34"/>
      <c r="AC145" s="34"/>
      <c r="AD145" s="34"/>
      <c r="AE145" s="34"/>
      <c r="AF145" s="34"/>
      <c r="AG145" s="34"/>
      <c r="AH145" s="34"/>
      <c r="AI145" s="34"/>
      <c r="AJ145" s="34"/>
    </row>
    <row r="146" spans="2:36" x14ac:dyDescent="0.2">
      <c r="B146" s="34"/>
      <c r="C146" s="34"/>
      <c r="D146" s="34"/>
      <c r="E146" s="34"/>
      <c r="F146" s="34"/>
      <c r="G146" s="34"/>
      <c r="H146" s="194"/>
      <c r="I146" s="194"/>
      <c r="J146" s="34"/>
      <c r="K146" s="34"/>
      <c r="L146" s="34"/>
      <c r="M146" s="34"/>
      <c r="N146" s="34"/>
      <c r="O146" s="34"/>
      <c r="P146" s="34"/>
      <c r="Q146" s="34"/>
      <c r="R146" s="194"/>
      <c r="S146" s="34"/>
      <c r="T146" s="34"/>
      <c r="U146" s="34"/>
      <c r="V146" s="34"/>
      <c r="W146" s="34"/>
      <c r="X146" s="34"/>
      <c r="Y146" s="34"/>
      <c r="Z146" s="34"/>
      <c r="AA146" s="34"/>
      <c r="AB146" s="34"/>
      <c r="AC146" s="34"/>
      <c r="AD146" s="34"/>
      <c r="AE146" s="34"/>
      <c r="AF146" s="34"/>
      <c r="AG146" s="34"/>
      <c r="AH146" s="34"/>
      <c r="AI146" s="34"/>
      <c r="AJ146" s="34"/>
    </row>
    <row r="147" spans="2:36" x14ac:dyDescent="0.2">
      <c r="B147" s="34"/>
      <c r="C147" s="34"/>
      <c r="D147" s="34"/>
      <c r="E147" s="34"/>
      <c r="F147" s="34"/>
      <c r="G147" s="34"/>
      <c r="H147" s="194"/>
      <c r="I147" s="194"/>
      <c r="J147" s="34"/>
      <c r="K147" s="34"/>
      <c r="L147" s="34"/>
      <c r="M147" s="34"/>
      <c r="N147" s="34"/>
      <c r="O147" s="34"/>
      <c r="P147" s="34"/>
      <c r="Q147" s="34"/>
      <c r="R147" s="194"/>
      <c r="S147" s="34"/>
      <c r="T147" s="34"/>
      <c r="U147" s="34"/>
      <c r="V147" s="34"/>
      <c r="W147" s="34"/>
      <c r="X147" s="34"/>
      <c r="Y147" s="34"/>
      <c r="Z147" s="34"/>
      <c r="AA147" s="34"/>
      <c r="AB147" s="34"/>
      <c r="AC147" s="34"/>
      <c r="AD147" s="34"/>
      <c r="AE147" s="34"/>
      <c r="AF147" s="34"/>
      <c r="AG147" s="34"/>
      <c r="AH147" s="34"/>
      <c r="AI147" s="34"/>
      <c r="AJ147" s="34"/>
    </row>
    <row r="148" spans="2:36" x14ac:dyDescent="0.2">
      <c r="B148" s="34"/>
      <c r="C148" s="34"/>
      <c r="D148" s="34"/>
      <c r="E148" s="34"/>
      <c r="F148" s="34"/>
      <c r="G148" s="34"/>
      <c r="H148" s="194"/>
      <c r="I148" s="194"/>
      <c r="J148" s="34"/>
      <c r="K148" s="34"/>
      <c r="L148" s="34"/>
      <c r="M148" s="34"/>
      <c r="N148" s="34"/>
      <c r="O148" s="34"/>
      <c r="P148" s="34"/>
      <c r="Q148" s="34"/>
      <c r="R148" s="194"/>
      <c r="S148" s="34"/>
      <c r="T148" s="34"/>
      <c r="U148" s="34"/>
      <c r="V148" s="34"/>
      <c r="W148" s="34"/>
      <c r="X148" s="34"/>
      <c r="Y148" s="34"/>
      <c r="Z148" s="34"/>
      <c r="AA148" s="34"/>
      <c r="AB148" s="34"/>
      <c r="AC148" s="34"/>
      <c r="AD148" s="34"/>
      <c r="AE148" s="34"/>
      <c r="AF148" s="34"/>
      <c r="AG148" s="34"/>
      <c r="AH148" s="34"/>
      <c r="AI148" s="34"/>
      <c r="AJ148" s="34"/>
    </row>
    <row r="149" spans="2:36" x14ac:dyDescent="0.2">
      <c r="B149" s="34"/>
      <c r="C149" s="34"/>
      <c r="D149" s="34"/>
      <c r="E149" s="34"/>
      <c r="F149" s="34"/>
      <c r="G149" s="34"/>
      <c r="H149" s="194"/>
      <c r="I149" s="194"/>
      <c r="J149" s="34"/>
      <c r="K149" s="34"/>
      <c r="L149" s="34"/>
      <c r="M149" s="34"/>
      <c r="N149" s="34"/>
      <c r="O149" s="157"/>
      <c r="P149" s="197"/>
      <c r="Q149" s="34"/>
      <c r="R149" s="194"/>
      <c r="S149" s="34"/>
      <c r="T149" s="34"/>
      <c r="U149" s="34"/>
      <c r="V149" s="34"/>
      <c r="W149" s="34"/>
      <c r="X149" s="34"/>
      <c r="Y149" s="34"/>
      <c r="Z149" s="34"/>
      <c r="AA149" s="34"/>
      <c r="AB149" s="34"/>
      <c r="AC149" s="34"/>
      <c r="AD149" s="34"/>
      <c r="AE149" s="34"/>
      <c r="AF149" s="34"/>
      <c r="AG149" s="34"/>
      <c r="AH149" s="34"/>
      <c r="AI149" s="34"/>
      <c r="AJ149" s="34"/>
    </row>
    <row r="150" spans="2:36" x14ac:dyDescent="0.2">
      <c r="B150" s="34"/>
      <c r="C150" s="34"/>
      <c r="D150" s="34"/>
      <c r="E150" s="34"/>
      <c r="F150" s="34"/>
      <c r="G150" s="34"/>
      <c r="H150" s="194"/>
      <c r="I150" s="194"/>
      <c r="J150" s="34"/>
      <c r="K150" s="34"/>
      <c r="L150" s="34"/>
      <c r="M150" s="34"/>
      <c r="N150" s="34"/>
      <c r="O150" s="157"/>
      <c r="P150" s="218"/>
      <c r="Q150" s="34"/>
      <c r="R150" s="194"/>
      <c r="S150" s="34"/>
      <c r="T150" s="34"/>
      <c r="U150" s="34"/>
      <c r="V150" s="34"/>
      <c r="W150" s="34"/>
      <c r="X150" s="34"/>
      <c r="Y150" s="34"/>
      <c r="Z150" s="34"/>
      <c r="AA150" s="34"/>
      <c r="AB150" s="34"/>
      <c r="AC150" s="34"/>
      <c r="AD150" s="34"/>
      <c r="AE150" s="34"/>
      <c r="AF150" s="34"/>
      <c r="AG150" s="34"/>
      <c r="AH150" s="34"/>
      <c r="AI150" s="34"/>
      <c r="AJ150" s="34"/>
    </row>
    <row r="151" spans="2:36" x14ac:dyDescent="0.2">
      <c r="B151" s="34"/>
      <c r="C151" s="34"/>
      <c r="D151" s="34"/>
      <c r="E151" s="34"/>
      <c r="F151" s="34"/>
      <c r="G151" s="34"/>
      <c r="H151" s="194"/>
      <c r="I151" s="194"/>
      <c r="J151" s="34"/>
      <c r="K151" s="34"/>
      <c r="L151" s="34"/>
      <c r="M151" s="34"/>
      <c r="N151" s="34"/>
      <c r="O151" s="157"/>
      <c r="P151" s="216"/>
      <c r="Q151" s="34"/>
      <c r="R151" s="194"/>
      <c r="S151" s="34"/>
      <c r="T151" s="34"/>
      <c r="U151" s="34"/>
      <c r="V151" s="34"/>
      <c r="W151" s="34"/>
      <c r="X151" s="34"/>
      <c r="Y151" s="34"/>
      <c r="Z151" s="34"/>
      <c r="AA151" s="34"/>
      <c r="AB151" s="34"/>
      <c r="AC151" s="34"/>
      <c r="AD151" s="34"/>
      <c r="AE151" s="34"/>
      <c r="AF151" s="34"/>
      <c r="AG151" s="34"/>
      <c r="AH151" s="34"/>
      <c r="AI151" s="34"/>
      <c r="AJ151" s="34"/>
    </row>
    <row r="152" spans="2:36" x14ac:dyDescent="0.2">
      <c r="B152" s="34"/>
      <c r="C152" s="34"/>
      <c r="D152" s="34"/>
      <c r="E152" s="34"/>
      <c r="F152" s="34"/>
      <c r="G152" s="34"/>
      <c r="H152" s="194"/>
      <c r="I152" s="194"/>
      <c r="J152" s="34"/>
      <c r="K152" s="34"/>
      <c r="L152" s="34"/>
      <c r="M152" s="34"/>
      <c r="N152" s="34"/>
      <c r="O152" s="157"/>
      <c r="P152" s="191"/>
      <c r="Q152" s="34"/>
      <c r="R152" s="194"/>
      <c r="S152" s="34"/>
      <c r="T152" s="34"/>
      <c r="U152" s="34"/>
      <c r="V152" s="34"/>
      <c r="W152" s="34"/>
      <c r="X152" s="34"/>
      <c r="Y152" s="34"/>
      <c r="Z152" s="34"/>
      <c r="AA152" s="34"/>
      <c r="AB152" s="34"/>
      <c r="AC152" s="34"/>
      <c r="AD152" s="34"/>
      <c r="AE152" s="34"/>
      <c r="AF152" s="34"/>
      <c r="AG152" s="34"/>
      <c r="AH152" s="34"/>
      <c r="AI152" s="34"/>
      <c r="AJ152" s="34"/>
    </row>
    <row r="153" spans="2:36" x14ac:dyDescent="0.2">
      <c r="B153" s="34"/>
      <c r="C153" s="34"/>
      <c r="D153" s="34"/>
      <c r="E153" s="34"/>
      <c r="F153" s="34"/>
      <c r="G153" s="34"/>
      <c r="H153" s="194"/>
      <c r="I153" s="194"/>
      <c r="J153" s="34"/>
      <c r="K153" s="34"/>
      <c r="L153" s="34"/>
      <c r="M153" s="34"/>
      <c r="N153" s="34"/>
      <c r="O153" s="157"/>
      <c r="P153" s="195"/>
      <c r="Q153" s="34"/>
      <c r="R153" s="194"/>
      <c r="S153" s="34"/>
      <c r="T153" s="34"/>
      <c r="U153" s="34"/>
      <c r="V153" s="34"/>
      <c r="W153" s="34"/>
      <c r="X153" s="34"/>
      <c r="Y153" s="34"/>
      <c r="Z153" s="34"/>
      <c r="AA153" s="34"/>
      <c r="AB153" s="34"/>
      <c r="AC153" s="34"/>
      <c r="AD153" s="34"/>
      <c r="AE153" s="34"/>
      <c r="AF153" s="34"/>
      <c r="AG153" s="34"/>
      <c r="AH153" s="34"/>
      <c r="AI153" s="34"/>
      <c r="AJ153" s="34"/>
    </row>
    <row r="154" spans="2:36" x14ac:dyDescent="0.2">
      <c r="B154" s="34"/>
      <c r="C154" s="34"/>
      <c r="D154" s="34"/>
      <c r="E154" s="34"/>
      <c r="F154" s="34"/>
      <c r="G154" s="34"/>
      <c r="H154" s="194"/>
      <c r="I154" s="194"/>
      <c r="J154" s="34"/>
      <c r="K154" s="34"/>
      <c r="L154" s="34"/>
      <c r="M154" s="34"/>
      <c r="N154" s="34"/>
      <c r="O154" s="157"/>
      <c r="P154" s="191"/>
      <c r="Q154" s="34"/>
      <c r="R154" s="194"/>
      <c r="S154" s="34"/>
      <c r="T154" s="34"/>
      <c r="U154" s="34"/>
      <c r="V154" s="34"/>
      <c r="W154" s="34"/>
      <c r="X154" s="34"/>
      <c r="Y154" s="34"/>
      <c r="Z154" s="34"/>
      <c r="AA154" s="34"/>
      <c r="AB154" s="34"/>
      <c r="AC154" s="34"/>
      <c r="AD154" s="34"/>
      <c r="AE154" s="34"/>
      <c r="AF154" s="34"/>
      <c r="AG154" s="34"/>
      <c r="AH154" s="34"/>
      <c r="AI154" s="34"/>
      <c r="AJ154" s="34"/>
    </row>
    <row r="155" spans="2:36" x14ac:dyDescent="0.2">
      <c r="B155" s="34"/>
      <c r="C155" s="34"/>
      <c r="D155" s="34"/>
      <c r="E155" s="34"/>
      <c r="F155" s="34"/>
      <c r="G155" s="34"/>
      <c r="H155" s="194"/>
      <c r="I155" s="194"/>
      <c r="J155" s="34"/>
      <c r="K155" s="34"/>
      <c r="L155" s="34"/>
      <c r="M155" s="34"/>
      <c r="N155" s="34"/>
      <c r="O155" s="157"/>
      <c r="P155" s="218"/>
      <c r="Q155" s="34"/>
      <c r="R155" s="194"/>
      <c r="S155" s="34"/>
      <c r="T155" s="34"/>
      <c r="U155" s="34"/>
      <c r="V155" s="34"/>
      <c r="W155" s="34"/>
      <c r="X155" s="34"/>
      <c r="Y155" s="34"/>
      <c r="Z155" s="34"/>
      <c r="AA155" s="34"/>
      <c r="AB155" s="34"/>
      <c r="AC155" s="34"/>
      <c r="AD155" s="34"/>
      <c r="AE155" s="34"/>
      <c r="AF155" s="34"/>
      <c r="AG155" s="34"/>
      <c r="AH155" s="34"/>
      <c r="AI155" s="34"/>
      <c r="AJ155" s="34"/>
    </row>
    <row r="156" spans="2:36" x14ac:dyDescent="0.2">
      <c r="B156" s="34"/>
      <c r="C156" s="34"/>
      <c r="D156" s="34"/>
      <c r="E156" s="34"/>
      <c r="F156" s="34"/>
      <c r="G156" s="34"/>
      <c r="H156" s="194"/>
      <c r="I156" s="194"/>
      <c r="J156" s="34"/>
      <c r="K156" s="34"/>
      <c r="L156" s="34"/>
      <c r="M156" s="34"/>
      <c r="N156" s="34"/>
      <c r="O156" s="157"/>
      <c r="P156" s="195"/>
      <c r="Q156" s="34"/>
      <c r="R156" s="194"/>
      <c r="S156" s="34"/>
      <c r="T156" s="34"/>
      <c r="U156" s="34"/>
      <c r="V156" s="34"/>
      <c r="W156" s="34"/>
      <c r="X156" s="34"/>
      <c r="Y156" s="34"/>
      <c r="Z156" s="34"/>
      <c r="AA156" s="34"/>
      <c r="AB156" s="34"/>
      <c r="AC156" s="34"/>
      <c r="AD156" s="34"/>
      <c r="AE156" s="34"/>
      <c r="AF156" s="34"/>
      <c r="AG156" s="34"/>
      <c r="AH156" s="34"/>
      <c r="AI156" s="34"/>
      <c r="AJ156" s="34"/>
    </row>
    <row r="157" spans="2:36" x14ac:dyDescent="0.2">
      <c r="B157" s="34"/>
      <c r="C157" s="34"/>
      <c r="D157" s="34"/>
      <c r="E157" s="34"/>
      <c r="F157" s="34"/>
      <c r="G157" s="34"/>
      <c r="H157" s="194"/>
      <c r="I157" s="194"/>
      <c r="J157" s="34"/>
      <c r="K157" s="34"/>
      <c r="L157" s="34"/>
      <c r="M157" s="34"/>
      <c r="N157" s="34"/>
      <c r="O157" s="157"/>
      <c r="P157" s="34"/>
      <c r="Q157" s="34"/>
      <c r="R157" s="194"/>
      <c r="S157" s="34"/>
      <c r="T157" s="34"/>
      <c r="U157" s="34"/>
      <c r="V157" s="34"/>
      <c r="W157" s="34"/>
      <c r="X157" s="34"/>
      <c r="Y157" s="34"/>
      <c r="Z157" s="34"/>
      <c r="AA157" s="34"/>
      <c r="AB157" s="34"/>
      <c r="AC157" s="34"/>
      <c r="AD157" s="34"/>
      <c r="AE157" s="34"/>
      <c r="AF157" s="34"/>
      <c r="AG157" s="34"/>
      <c r="AH157" s="34"/>
      <c r="AI157" s="34"/>
      <c r="AJ157" s="34"/>
    </row>
    <row r="158" spans="2:36" x14ac:dyDescent="0.2">
      <c r="B158" s="34"/>
      <c r="C158" s="34"/>
      <c r="D158" s="34"/>
      <c r="E158" s="34"/>
      <c r="F158" s="34"/>
      <c r="G158" s="34"/>
      <c r="H158" s="194"/>
      <c r="I158" s="194"/>
      <c r="J158" s="34"/>
      <c r="K158" s="34"/>
      <c r="L158" s="34"/>
      <c r="M158" s="34"/>
      <c r="N158" s="34"/>
      <c r="O158" s="157"/>
      <c r="P158" s="34"/>
      <c r="Q158" s="34"/>
      <c r="R158" s="194"/>
      <c r="S158" s="34"/>
      <c r="T158" s="34"/>
      <c r="U158" s="34"/>
      <c r="V158" s="34"/>
      <c r="W158" s="34"/>
      <c r="X158" s="34"/>
      <c r="Y158" s="34"/>
      <c r="Z158" s="34"/>
      <c r="AA158" s="34"/>
      <c r="AB158" s="34"/>
      <c r="AC158" s="34"/>
      <c r="AD158" s="34"/>
      <c r="AE158" s="34"/>
      <c r="AF158" s="34"/>
      <c r="AG158" s="34"/>
      <c r="AH158" s="34"/>
      <c r="AI158" s="34"/>
      <c r="AJ158" s="34"/>
    </row>
    <row r="159" spans="2:36" x14ac:dyDescent="0.2">
      <c r="B159" s="34"/>
      <c r="C159" s="34"/>
      <c r="D159" s="34"/>
      <c r="E159" s="34"/>
      <c r="F159" s="34"/>
      <c r="G159" s="34"/>
      <c r="H159" s="194"/>
      <c r="I159" s="194"/>
      <c r="J159" s="34"/>
      <c r="K159" s="34"/>
      <c r="L159" s="34"/>
      <c r="M159" s="34"/>
      <c r="N159" s="34"/>
      <c r="O159" s="157"/>
      <c r="P159" s="216"/>
      <c r="Q159" s="34"/>
      <c r="R159" s="194"/>
      <c r="S159" s="34"/>
      <c r="T159" s="34"/>
      <c r="U159" s="34"/>
      <c r="V159" s="34"/>
      <c r="W159" s="34"/>
      <c r="X159" s="34"/>
      <c r="Y159" s="34"/>
      <c r="Z159" s="34"/>
      <c r="AA159" s="34"/>
      <c r="AB159" s="34"/>
      <c r="AC159" s="34"/>
      <c r="AD159" s="34"/>
      <c r="AE159" s="34"/>
      <c r="AF159" s="34"/>
      <c r="AG159" s="34"/>
      <c r="AH159" s="34"/>
      <c r="AI159" s="34"/>
      <c r="AJ159" s="34"/>
    </row>
    <row r="160" spans="2:36" x14ac:dyDescent="0.2">
      <c r="B160" s="198"/>
      <c r="C160" s="198"/>
      <c r="D160" s="34"/>
      <c r="E160" s="34"/>
      <c r="F160" s="34"/>
      <c r="G160" s="34"/>
      <c r="H160" s="194"/>
      <c r="I160" s="19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row>
    <row r="161" spans="2:36" x14ac:dyDescent="0.2">
      <c r="B161" s="198"/>
      <c r="C161" s="198"/>
      <c r="D161" s="34"/>
      <c r="E161" s="34"/>
      <c r="F161" s="34"/>
      <c r="G161" s="34"/>
      <c r="H161" s="34"/>
      <c r="I161" s="19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row>
    <row r="162" spans="2:36" x14ac:dyDescent="0.2">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row>
    <row r="163" spans="2:36" x14ac:dyDescent="0.2">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row>
    <row r="164" spans="2:36" x14ac:dyDescent="0.2">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row>
    <row r="165" spans="2:36" x14ac:dyDescent="0.2">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row>
    <row r="166" spans="2:36" x14ac:dyDescent="0.2">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row>
    <row r="167" spans="2:36" x14ac:dyDescent="0.2">
      <c r="B167" s="34"/>
      <c r="C167" s="34"/>
      <c r="D167" s="157"/>
      <c r="E167" s="211"/>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row>
    <row r="168" spans="2:36" x14ac:dyDescent="0.2">
      <c r="B168" s="34"/>
      <c r="C168" s="34"/>
      <c r="D168" s="157"/>
      <c r="E168" s="211"/>
      <c r="F168" s="153"/>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row>
    <row r="169" spans="2:36" x14ac:dyDescent="0.2">
      <c r="B169" s="34"/>
      <c r="C169" s="34"/>
      <c r="D169" s="34"/>
      <c r="E169" s="34"/>
      <c r="F169" s="34"/>
      <c r="G169" s="34"/>
      <c r="H169" s="34"/>
      <c r="I169" s="34"/>
      <c r="J169" s="157"/>
      <c r="K169" s="219"/>
      <c r="L169" s="219"/>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row>
    <row r="170" spans="2:36" x14ac:dyDescent="0.2">
      <c r="B170" s="34"/>
      <c r="C170" s="34"/>
      <c r="D170" s="157"/>
      <c r="E170" s="157"/>
      <c r="F170" s="211"/>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row>
    <row r="171" spans="2:36" x14ac:dyDescent="0.2">
      <c r="B171" s="34"/>
      <c r="C171" s="34"/>
      <c r="D171" s="34"/>
      <c r="E171" s="34"/>
      <c r="F171" s="34"/>
      <c r="G171" s="34"/>
      <c r="H171" s="34"/>
      <c r="I171" s="34"/>
      <c r="J171" s="157"/>
      <c r="K171" s="220"/>
      <c r="L171" s="220"/>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row>
    <row r="172" spans="2:36" x14ac:dyDescent="0.2">
      <c r="B172" s="34"/>
      <c r="C172" s="34"/>
      <c r="D172" s="34"/>
      <c r="E172" s="34"/>
      <c r="F172" s="157"/>
      <c r="G172" s="211"/>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row>
    <row r="173" spans="2:36" x14ac:dyDescent="0.2">
      <c r="B173" s="34"/>
      <c r="C173" s="34"/>
      <c r="D173" s="34"/>
      <c r="E173" s="34"/>
      <c r="F173" s="157"/>
      <c r="G173" s="211"/>
      <c r="H173" s="34"/>
      <c r="I173" s="34"/>
      <c r="J173" s="157"/>
      <c r="K173" s="158"/>
      <c r="L173" s="158"/>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row>
    <row r="174" spans="2:36" x14ac:dyDescent="0.2">
      <c r="B174" s="34"/>
      <c r="C174" s="34"/>
      <c r="D174" s="34"/>
      <c r="E174" s="34"/>
      <c r="F174" s="157"/>
      <c r="G174" s="211"/>
      <c r="H174" s="34"/>
      <c r="I174" s="34"/>
      <c r="J174" s="34"/>
      <c r="K174" s="34"/>
      <c r="L174" s="34"/>
      <c r="M174" s="34"/>
      <c r="N174" s="34"/>
      <c r="O174" s="34"/>
      <c r="P174" s="34"/>
      <c r="Q174" s="211"/>
      <c r="R174" s="34"/>
      <c r="S174" s="34"/>
      <c r="T174" s="34"/>
      <c r="U174" s="34"/>
      <c r="V174" s="34"/>
      <c r="W174" s="34"/>
      <c r="X174" s="34"/>
      <c r="Y174" s="34"/>
      <c r="Z174" s="34"/>
      <c r="AA174" s="34"/>
      <c r="AB174" s="34"/>
      <c r="AC174" s="34"/>
      <c r="AD174" s="34"/>
      <c r="AE174" s="34"/>
      <c r="AF174" s="34"/>
      <c r="AG174" s="34"/>
      <c r="AH174" s="34"/>
      <c r="AI174" s="34"/>
      <c r="AJ174" s="34"/>
    </row>
    <row r="175" spans="2:36" x14ac:dyDescent="0.2">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row>
    <row r="176" spans="2:36" x14ac:dyDescent="0.2">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row>
    <row r="177" spans="2:36" x14ac:dyDescent="0.2">
      <c r="B177" s="34"/>
      <c r="C177" s="34"/>
      <c r="D177" s="213"/>
      <c r="E177" s="221"/>
      <c r="F177" s="213"/>
      <c r="G177" s="213"/>
      <c r="H177" s="34"/>
      <c r="I177" s="34"/>
      <c r="J177" s="34"/>
      <c r="K177" s="34"/>
      <c r="L177" s="34"/>
      <c r="M177" s="34"/>
      <c r="N177" s="34"/>
      <c r="O177" s="34"/>
      <c r="P177" s="34"/>
      <c r="Q177" s="213"/>
      <c r="R177" s="34"/>
      <c r="S177" s="34"/>
      <c r="T177" s="34"/>
      <c r="U177" s="34"/>
      <c r="V177" s="34"/>
      <c r="W177" s="34"/>
      <c r="X177" s="34"/>
      <c r="Y177" s="34"/>
      <c r="Z177" s="34"/>
      <c r="AA177" s="34"/>
      <c r="AB177" s="34"/>
      <c r="AC177" s="34"/>
      <c r="AD177" s="34"/>
      <c r="AE177" s="34"/>
      <c r="AF177" s="34"/>
      <c r="AG177" s="34"/>
      <c r="AH177" s="34"/>
      <c r="AI177" s="34"/>
      <c r="AJ177" s="34"/>
    </row>
    <row r="178" spans="2:36" x14ac:dyDescent="0.2">
      <c r="B178" s="34"/>
      <c r="C178" s="34"/>
      <c r="D178" s="34"/>
      <c r="E178" s="34"/>
      <c r="F178" s="34"/>
      <c r="G178" s="34"/>
      <c r="H178" s="34"/>
      <c r="I178" s="34"/>
      <c r="J178" s="213"/>
      <c r="K178" s="221"/>
      <c r="L178" s="221"/>
      <c r="M178" s="213"/>
      <c r="N178" s="213"/>
      <c r="O178" s="213"/>
      <c r="P178" s="213"/>
      <c r="Q178" s="34"/>
      <c r="R178" s="34"/>
      <c r="S178" s="34"/>
      <c r="T178" s="34"/>
      <c r="U178" s="34"/>
      <c r="V178" s="34"/>
      <c r="W178" s="34"/>
      <c r="X178" s="34"/>
      <c r="Y178" s="34"/>
      <c r="Z178" s="34"/>
      <c r="AA178" s="34"/>
      <c r="AB178" s="34"/>
      <c r="AC178" s="34"/>
      <c r="AD178" s="34"/>
      <c r="AE178" s="34"/>
      <c r="AF178" s="34"/>
      <c r="AG178" s="34"/>
      <c r="AH178" s="34"/>
      <c r="AI178" s="34"/>
      <c r="AJ178" s="34"/>
    </row>
    <row r="179" spans="2:36" x14ac:dyDescent="0.2">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row>
    <row r="180" spans="2:36" x14ac:dyDescent="0.2">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row>
    <row r="181" spans="2:36" x14ac:dyDescent="0.2">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row>
    <row r="182" spans="2:36" x14ac:dyDescent="0.2">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row>
    <row r="183" spans="2:36" x14ac:dyDescent="0.2">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row>
    <row r="184" spans="2:36" x14ac:dyDescent="0.2">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row>
    <row r="185" spans="2:36" x14ac:dyDescent="0.2">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row>
    <row r="186" spans="2:36" x14ac:dyDescent="0.2">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row>
    <row r="187" spans="2:36" x14ac:dyDescent="0.2">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row>
    <row r="188" spans="2:36" x14ac:dyDescent="0.2">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row>
    <row r="189" spans="2:36" x14ac:dyDescent="0.2">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row>
    <row r="190" spans="2:36" x14ac:dyDescent="0.2">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row>
    <row r="191" spans="2:36" x14ac:dyDescent="0.2">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row>
    <row r="192" spans="2:36" x14ac:dyDescent="0.2">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row>
    <row r="193" spans="2:36" x14ac:dyDescent="0.2">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row>
    <row r="194" spans="2:36" x14ac:dyDescent="0.2">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row>
    <row r="195" spans="2:36" x14ac:dyDescent="0.2">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row>
    <row r="196" spans="2:36" x14ac:dyDescent="0.2">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row>
    <row r="197" spans="2:36" x14ac:dyDescent="0.2">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row>
    <row r="198" spans="2:36" x14ac:dyDescent="0.2">
      <c r="B198" s="34"/>
      <c r="C198" s="34"/>
      <c r="D198" s="222"/>
      <c r="E198" s="223"/>
      <c r="F198" s="223"/>
      <c r="G198" s="223"/>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row>
    <row r="199" spans="2:36" x14ac:dyDescent="0.2">
      <c r="B199" s="34"/>
      <c r="C199" s="34"/>
      <c r="D199" s="222"/>
      <c r="E199" s="222"/>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row>
    <row r="200" spans="2:36" x14ac:dyDescent="0.2">
      <c r="B200" s="34"/>
      <c r="C200" s="34"/>
      <c r="D200" s="222"/>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row>
    <row r="201" spans="2:36" x14ac:dyDescent="0.2">
      <c r="B201" s="34"/>
      <c r="C201" s="34"/>
      <c r="D201" s="222"/>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row>
    <row r="202" spans="2:36" x14ac:dyDescent="0.2">
      <c r="B202" s="34"/>
      <c r="C202" s="34"/>
      <c r="D202" s="222"/>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row>
    <row r="203" spans="2:36" x14ac:dyDescent="0.2">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row>
    <row r="204" spans="2:36" x14ac:dyDescent="0.2">
      <c r="B204" s="34"/>
      <c r="C204" s="34"/>
      <c r="D204" s="222"/>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row>
    <row r="205" spans="2:36" x14ac:dyDescent="0.2">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row>
    <row r="206" spans="2:36" x14ac:dyDescent="0.2">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row>
    <row r="207" spans="2:36" x14ac:dyDescent="0.2">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row>
    <row r="208" spans="2:36" x14ac:dyDescent="0.2">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row>
    <row r="209" spans="2:36" x14ac:dyDescent="0.2">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row>
    <row r="210" spans="2:36" x14ac:dyDescent="0.2">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row>
    <row r="211" spans="2:36" x14ac:dyDescent="0.2">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row>
    <row r="212" spans="2:36" x14ac:dyDescent="0.2">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row>
    <row r="213" spans="2:36" x14ac:dyDescent="0.2">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row>
    <row r="214" spans="2:36" x14ac:dyDescent="0.2">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row>
    <row r="215" spans="2:36" x14ac:dyDescent="0.2">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row>
    <row r="216" spans="2:36" x14ac:dyDescent="0.2">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row>
    <row r="217" spans="2:36" x14ac:dyDescent="0.2">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row>
    <row r="218" spans="2:36" x14ac:dyDescent="0.2">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row>
    <row r="219" spans="2:36" x14ac:dyDescent="0.2">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row>
    <row r="220" spans="2:36" x14ac:dyDescent="0.2">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row>
    <row r="221" spans="2:36" x14ac:dyDescent="0.2">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row>
    <row r="222" spans="2:36" x14ac:dyDescent="0.2">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row>
    <row r="223" spans="2:36" x14ac:dyDescent="0.2">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row>
    <row r="224" spans="2:36" x14ac:dyDescent="0.2">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row>
    <row r="225" spans="2:36" x14ac:dyDescent="0.2">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row>
    <row r="226" spans="2:36" x14ac:dyDescent="0.2">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row>
    <row r="227" spans="2:36" x14ac:dyDescent="0.2">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row>
    <row r="228" spans="2:36" x14ac:dyDescent="0.2">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row>
    <row r="229" spans="2:36" x14ac:dyDescent="0.2">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row>
    <row r="230" spans="2:36" x14ac:dyDescent="0.2">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row>
    <row r="231" spans="2:36" x14ac:dyDescent="0.2">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row>
    <row r="232" spans="2:36" x14ac:dyDescent="0.2">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row>
    <row r="233" spans="2:36" x14ac:dyDescent="0.2">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row>
    <row r="234" spans="2:36" x14ac:dyDescent="0.2">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row>
    <row r="235" spans="2:36" x14ac:dyDescent="0.2">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row>
    <row r="236" spans="2:36" x14ac:dyDescent="0.2">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row>
    <row r="237" spans="2:36" x14ac:dyDescent="0.2">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row>
    <row r="238" spans="2:36" x14ac:dyDescent="0.2">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row>
    <row r="239" spans="2:36" x14ac:dyDescent="0.2">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row>
    <row r="240" spans="2:36" x14ac:dyDescent="0.2">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row>
    <row r="241" spans="2:36" x14ac:dyDescent="0.2">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row>
    <row r="242" spans="2:36" x14ac:dyDescent="0.2">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row>
    <row r="243" spans="2:36" x14ac:dyDescent="0.2">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row>
    <row r="244" spans="2:36" x14ac:dyDescent="0.2">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row>
    <row r="245" spans="2:36" x14ac:dyDescent="0.2">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row>
    <row r="246" spans="2:36" x14ac:dyDescent="0.2">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row>
    <row r="247" spans="2:36" x14ac:dyDescent="0.2">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row>
    <row r="248" spans="2:36" x14ac:dyDescent="0.2">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row>
    <row r="249" spans="2:36" x14ac:dyDescent="0.2">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row>
    <row r="250" spans="2:36" x14ac:dyDescent="0.2">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row>
    <row r="251" spans="2:36" x14ac:dyDescent="0.2">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row>
    <row r="252" spans="2:36" x14ac:dyDescent="0.2">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row>
    <row r="253" spans="2:36" x14ac:dyDescent="0.2">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row>
    <row r="254" spans="2:36" x14ac:dyDescent="0.2">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row>
    <row r="255" spans="2:36" x14ac:dyDescent="0.2">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row>
    <row r="256" spans="2:36" x14ac:dyDescent="0.2">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row>
    <row r="257" spans="2:36" x14ac:dyDescent="0.2">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row>
    <row r="258" spans="2:36" x14ac:dyDescent="0.2">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row>
    <row r="259" spans="2:36" x14ac:dyDescent="0.2">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row>
    <row r="260" spans="2:36" x14ac:dyDescent="0.2">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row>
    <row r="261" spans="2:36" x14ac:dyDescent="0.2">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row>
    <row r="262" spans="2:36" x14ac:dyDescent="0.2">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row>
    <row r="263" spans="2:36" x14ac:dyDescent="0.2">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row>
    <row r="264" spans="2:36" x14ac:dyDescent="0.2">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row>
    <row r="265" spans="2:36" x14ac:dyDescent="0.2">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row>
    <row r="266" spans="2:36" x14ac:dyDescent="0.2">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row>
    <row r="267" spans="2:36" x14ac:dyDescent="0.2">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row>
    <row r="268" spans="2:36" x14ac:dyDescent="0.2">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row>
    <row r="269" spans="2:36" x14ac:dyDescent="0.2">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row>
    <row r="270" spans="2:36" x14ac:dyDescent="0.2">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row>
    <row r="271" spans="2:36" x14ac:dyDescent="0.2">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row>
    <row r="272" spans="2:36" x14ac:dyDescent="0.2">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row>
    <row r="273" spans="2:36" x14ac:dyDescent="0.2">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row>
    <row r="274" spans="2:36" x14ac:dyDescent="0.2">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row>
    <row r="275" spans="2:36" x14ac:dyDescent="0.2">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row>
    <row r="276" spans="2:36" x14ac:dyDescent="0.2">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row>
    <row r="277" spans="2:36" x14ac:dyDescent="0.2">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row>
    <row r="278" spans="2:36" x14ac:dyDescent="0.2">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row>
    <row r="279" spans="2:36" x14ac:dyDescent="0.2">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row>
    <row r="280" spans="2:36" x14ac:dyDescent="0.2">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row>
    <row r="281" spans="2:36" x14ac:dyDescent="0.2">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row>
    <row r="282" spans="2:36" x14ac:dyDescent="0.2">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row>
    <row r="283" spans="2:36" x14ac:dyDescent="0.2">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row>
    <row r="284" spans="2:36" x14ac:dyDescent="0.2">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row>
    <row r="285" spans="2:36" x14ac:dyDescent="0.2">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row>
    <row r="286" spans="2:36" x14ac:dyDescent="0.2">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row>
    <row r="287" spans="2:36" x14ac:dyDescent="0.2">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row>
    <row r="288" spans="2:36" x14ac:dyDescent="0.2">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row>
    <row r="289" spans="2:36" x14ac:dyDescent="0.2">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row>
    <row r="290" spans="2:36" x14ac:dyDescent="0.2">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row>
    <row r="291" spans="2:36" x14ac:dyDescent="0.2">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row>
    <row r="292" spans="2:36" x14ac:dyDescent="0.2">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row>
    <row r="293" spans="2:36" x14ac:dyDescent="0.2">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row>
    <row r="294" spans="2:36" x14ac:dyDescent="0.2">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row>
    <row r="295" spans="2:36" x14ac:dyDescent="0.2">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row>
    <row r="296" spans="2:36" x14ac:dyDescent="0.2">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row>
    <row r="297" spans="2:36" x14ac:dyDescent="0.2">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row>
    <row r="298" spans="2:36" x14ac:dyDescent="0.2">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row>
    <row r="299" spans="2:36" x14ac:dyDescent="0.2">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row>
    <row r="300" spans="2:36" x14ac:dyDescent="0.2">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row>
    <row r="301" spans="2:36" x14ac:dyDescent="0.2">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row>
    <row r="302" spans="2:36" x14ac:dyDescent="0.2">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row>
    <row r="303" spans="2:36" x14ac:dyDescent="0.2">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row>
    <row r="304" spans="2:36" x14ac:dyDescent="0.2">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row>
    <row r="305" spans="2:36" x14ac:dyDescent="0.2">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row>
    <row r="306" spans="2:36" x14ac:dyDescent="0.2">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row>
    <row r="307" spans="2:36" x14ac:dyDescent="0.2">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row>
    <row r="308" spans="2:36" x14ac:dyDescent="0.2">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row>
    <row r="309" spans="2:36" x14ac:dyDescent="0.2">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row>
    <row r="310" spans="2:36" x14ac:dyDescent="0.2">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row>
    <row r="311" spans="2:36" x14ac:dyDescent="0.2">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row>
    <row r="312" spans="2:36" x14ac:dyDescent="0.2">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row>
    <row r="313" spans="2:36" x14ac:dyDescent="0.2">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row>
    <row r="314" spans="2:36" x14ac:dyDescent="0.2">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row>
    <row r="315" spans="2:36" x14ac:dyDescent="0.2">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row>
    <row r="316" spans="2:36" x14ac:dyDescent="0.2">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row>
    <row r="317" spans="2:36" x14ac:dyDescent="0.2">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row>
    <row r="318" spans="2:36" x14ac:dyDescent="0.2">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row>
    <row r="319" spans="2:36" x14ac:dyDescent="0.2">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row>
    <row r="320" spans="2:36" x14ac:dyDescent="0.2">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row>
    <row r="321" spans="2:36" x14ac:dyDescent="0.2">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row>
    <row r="322" spans="2:36" x14ac:dyDescent="0.2">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row>
    <row r="323" spans="2:36" x14ac:dyDescent="0.2">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row>
    <row r="324" spans="2:36" x14ac:dyDescent="0.2">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row>
    <row r="325" spans="2:36" x14ac:dyDescent="0.2">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row>
    <row r="326" spans="2:36" x14ac:dyDescent="0.2">
      <c r="I326" s="34"/>
      <c r="J326" s="34"/>
      <c r="K326" s="34"/>
      <c r="L326" s="34"/>
      <c r="M326" s="34"/>
      <c r="N326" s="34"/>
      <c r="O326" s="34"/>
      <c r="P326" s="34"/>
    </row>
  </sheetData>
  <sheetProtection sheet="1" objects="1" scenarios="1" selectLockedCells="1"/>
  <conditionalFormatting sqref="Y13:Y59">
    <cfRule type="cellIs" priority="1" stopIfTrue="1" operator="equal">
      <formula>"zero"</formula>
    </cfRule>
  </conditionalFormatting>
  <dataValidations count="1">
    <dataValidation type="list" allowBlank="1" showInputMessage="1" showErrorMessage="1" sqref="D9" xr:uid="{00000000-0002-0000-0200-000000000000}">
      <formula1>$K$9:$P$9</formula1>
    </dataValidation>
  </dataValidations>
  <pageMargins left="0.7" right="0.7" top="0.75" bottom="0.75" header="0.3" footer="0.3"/>
  <pageSetup scale="62" orientation="portrait" r:id="rId1"/>
  <headerFooter>
    <oddFooter>&amp;L&amp;"-,Regular"&amp;8Ver. 1.0
&amp;F
&amp;Z&amp;F&amp;C&amp;"-,Regular"&amp;8North Dakota IWM Certification Form
Net Irrigation Calculator
&amp;R&amp;"-,Regular"&amp;8&amp;D
&amp;T</oddFooter>
  </headerFooter>
  <rowBreaks count="1" manualBreakCount="1">
    <brk id="110" min="1" max="35" man="1"/>
  </rowBreaks>
  <ignoredErrors>
    <ignoredError sqref="C10:C22"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H48"/>
  <sheetViews>
    <sheetView zoomScale="69" zoomScaleNormal="69" zoomScalePageLayoutView="60" workbookViewId="0">
      <selection activeCell="A7" sqref="A7"/>
    </sheetView>
  </sheetViews>
  <sheetFormatPr defaultColWidth="8.85546875" defaultRowHeight="12.75" x14ac:dyDescent="0.2"/>
  <cols>
    <col min="1" max="1" width="12.85546875" style="327" customWidth="1"/>
    <col min="2" max="2" width="24" style="327" customWidth="1"/>
    <col min="3" max="3" width="10.5703125" style="327" customWidth="1"/>
    <col min="4" max="6" width="8.85546875" style="327"/>
    <col min="7" max="7" width="11.28515625" style="327" customWidth="1"/>
    <col min="8" max="8" width="11" style="23" customWidth="1"/>
    <col min="9" max="10" width="8.85546875" style="327"/>
    <col min="11" max="11" width="14.5703125" style="327" customWidth="1"/>
    <col min="12" max="12" width="21.42578125" style="327" customWidth="1"/>
    <col min="13" max="16" width="8.85546875" style="327"/>
    <col min="17" max="17" width="11.42578125" style="327" customWidth="1"/>
    <col min="18" max="18" width="17.42578125" style="327" bestFit="1" customWidth="1"/>
    <col min="19" max="20" width="8.85546875" style="327"/>
    <col min="21" max="21" width="19" style="327" customWidth="1"/>
    <col min="22" max="22" width="8.85546875" style="327"/>
    <col min="23" max="23" width="11.42578125" style="327" customWidth="1"/>
    <col min="24" max="24" width="11.7109375" style="327" customWidth="1"/>
    <col min="25" max="27" width="8.85546875" style="327"/>
    <col min="28" max="28" width="27" style="327" bestFit="1" customWidth="1"/>
    <col min="29" max="30" width="8.85546875" style="327"/>
    <col min="31" max="31" width="0" style="327" hidden="1" customWidth="1"/>
    <col min="32" max="32" width="21.7109375" style="327" hidden="1" customWidth="1"/>
    <col min="33" max="33" width="25.140625" style="327" hidden="1" customWidth="1"/>
    <col min="34" max="34" width="16.7109375" style="327" hidden="1" customWidth="1"/>
    <col min="35" max="16384" width="8.85546875" style="327"/>
  </cols>
  <sheetData>
    <row r="1" spans="1:33" ht="20.25" x14ac:dyDescent="0.3">
      <c r="A1" s="324"/>
      <c r="B1" s="325"/>
      <c r="C1" s="326"/>
      <c r="D1" s="326"/>
      <c r="E1" s="54"/>
      <c r="F1" s="324"/>
      <c r="G1" s="324"/>
      <c r="H1" s="71"/>
    </row>
    <row r="2" spans="1:33" ht="38.25" x14ac:dyDescent="0.2">
      <c r="A2" s="328"/>
      <c r="B2" s="329" t="s">
        <v>253</v>
      </c>
      <c r="C2" s="330" t="s">
        <v>254</v>
      </c>
      <c r="D2" s="545" t="s">
        <v>255</v>
      </c>
      <c r="E2" s="545"/>
      <c r="F2" s="545"/>
      <c r="G2" s="331"/>
      <c r="H2" s="72"/>
      <c r="T2" s="332"/>
      <c r="U2" s="333"/>
      <c r="V2" s="333"/>
    </row>
    <row r="3" spans="1:33" x14ac:dyDescent="0.2">
      <c r="A3" s="334"/>
      <c r="B3" s="334"/>
      <c r="C3" s="328"/>
      <c r="D3" s="328"/>
      <c r="E3" s="328"/>
      <c r="F3" s="328"/>
      <c r="G3" s="328"/>
      <c r="H3" s="73"/>
      <c r="T3" s="335"/>
      <c r="U3" s="336"/>
      <c r="V3" s="335"/>
      <c r="W3" s="337"/>
      <c r="AE3" s="335"/>
    </row>
    <row r="4" spans="1:33" x14ac:dyDescent="0.2">
      <c r="B4" s="162"/>
      <c r="T4" s="338"/>
      <c r="U4" s="54"/>
      <c r="V4" s="339"/>
      <c r="AE4" s="340"/>
    </row>
    <row r="5" spans="1:33" ht="23.25" x14ac:dyDescent="0.35">
      <c r="C5" s="341"/>
      <c r="D5" s="27" t="str">
        <f>IF('General Information'!$C$1="","Producers",'General Information'!$C$1)</f>
        <v>Producers</v>
      </c>
      <c r="E5" s="341" t="s">
        <v>164</v>
      </c>
      <c r="G5" s="342">
        <f>'General Information'!C16</f>
        <v>0</v>
      </c>
      <c r="T5" s="343"/>
      <c r="U5" s="54"/>
      <c r="V5" s="339"/>
      <c r="W5" s="333"/>
      <c r="AE5" s="340"/>
    </row>
    <row r="6" spans="1:33" ht="51" x14ac:dyDescent="0.2">
      <c r="A6" s="344" t="s">
        <v>59</v>
      </c>
      <c r="B6" s="345" t="s">
        <v>156</v>
      </c>
      <c r="C6" s="346" t="s">
        <v>123</v>
      </c>
      <c r="D6" s="346" t="s">
        <v>122</v>
      </c>
      <c r="E6" s="346" t="s">
        <v>124</v>
      </c>
      <c r="F6" s="346" t="s">
        <v>121</v>
      </c>
      <c r="G6" s="347" t="s">
        <v>146</v>
      </c>
      <c r="H6" s="24" t="s">
        <v>125</v>
      </c>
      <c r="K6" s="344" t="s">
        <v>59</v>
      </c>
      <c r="L6" s="348" t="s">
        <v>156</v>
      </c>
      <c r="M6" s="349" t="s">
        <v>123</v>
      </c>
      <c r="N6" s="349" t="s">
        <v>122</v>
      </c>
      <c r="O6" s="349" t="s">
        <v>124</v>
      </c>
      <c r="P6" s="349"/>
      <c r="Q6" s="350"/>
      <c r="R6" s="24" t="s">
        <v>125</v>
      </c>
      <c r="T6" s="338"/>
      <c r="U6" s="54"/>
      <c r="V6" s="339"/>
      <c r="W6" s="333"/>
      <c r="AE6" s="351"/>
      <c r="AF6" s="543" t="s">
        <v>241</v>
      </c>
      <c r="AG6" s="544"/>
    </row>
    <row r="7" spans="1:33" x14ac:dyDescent="0.2">
      <c r="A7" s="88"/>
      <c r="B7" s="352" t="s">
        <v>144</v>
      </c>
      <c r="C7" s="89"/>
      <c r="D7" s="90"/>
      <c r="E7" s="283"/>
      <c r="F7" s="89"/>
      <c r="G7" s="89"/>
      <c r="H7" s="25">
        <f>(100-G7)/100*(D7/12*E7)</f>
        <v>0</v>
      </c>
      <c r="K7" s="88"/>
      <c r="L7" s="352" t="s">
        <v>144</v>
      </c>
      <c r="M7" s="352">
        <f>+C42</f>
        <v>0</v>
      </c>
      <c r="N7" s="65">
        <f>+D14</f>
        <v>0</v>
      </c>
      <c r="O7" s="65">
        <f>$E$7</f>
        <v>0</v>
      </c>
      <c r="P7" s="90"/>
      <c r="Q7" s="90"/>
      <c r="R7" s="25">
        <f>(100-Q7)/100*(N7/12*O7)</f>
        <v>0</v>
      </c>
      <c r="T7" s="338"/>
      <c r="U7" s="54"/>
      <c r="V7" s="339"/>
      <c r="W7" s="333"/>
      <c r="AE7" s="340"/>
      <c r="AF7" s="353"/>
      <c r="AG7" s="353"/>
    </row>
    <row r="8" spans="1:33" x14ac:dyDescent="0.2">
      <c r="A8" s="354"/>
      <c r="B8" s="352" t="s">
        <v>145</v>
      </c>
      <c r="C8" s="89"/>
      <c r="D8" s="90"/>
      <c r="E8" s="283"/>
      <c r="F8" s="90"/>
      <c r="G8" s="89"/>
      <c r="H8" s="25">
        <f>(100-G8)/100*((D8-D7)/12*E8)</f>
        <v>0</v>
      </c>
      <c r="K8" s="354"/>
      <c r="L8" s="352" t="s">
        <v>145</v>
      </c>
      <c r="M8" s="352">
        <f>+C43</f>
        <v>0</v>
      </c>
      <c r="N8" s="65">
        <f>+D15</f>
        <v>0</v>
      </c>
      <c r="O8" s="65">
        <f>$E$8</f>
        <v>0</v>
      </c>
      <c r="P8" s="90"/>
      <c r="Q8" s="90"/>
      <c r="R8" s="25">
        <f>(100-Q8)/100*((N8-N7)/12*O8)</f>
        <v>0</v>
      </c>
      <c r="T8" s="338"/>
      <c r="U8" s="54"/>
      <c r="V8" s="339"/>
      <c r="W8" s="333"/>
      <c r="AE8" s="340"/>
      <c r="AF8" s="156" t="s">
        <v>115</v>
      </c>
      <c r="AG8" s="156" t="s">
        <v>297</v>
      </c>
    </row>
    <row r="9" spans="1:33" x14ac:dyDescent="0.2">
      <c r="A9" s="355"/>
      <c r="B9" s="352" t="s">
        <v>242</v>
      </c>
      <c r="C9" s="89"/>
      <c r="D9" s="89"/>
      <c r="E9" s="283"/>
      <c r="F9" s="89"/>
      <c r="G9" s="89"/>
      <c r="H9" s="25">
        <f>(100-G9)/100*((D9-D8)/12*E9)</f>
        <v>0</v>
      </c>
      <c r="K9" s="355"/>
      <c r="L9" s="352" t="s">
        <v>242</v>
      </c>
      <c r="M9" s="352">
        <f>+C44</f>
        <v>0</v>
      </c>
      <c r="N9" s="65">
        <f>+D16</f>
        <v>0</v>
      </c>
      <c r="O9" s="65">
        <f>$E$9</f>
        <v>0</v>
      </c>
      <c r="P9" s="90"/>
      <c r="Q9" s="90"/>
      <c r="R9" s="25">
        <f>(100-Q9)/100*((N9-N8)/12*O9)</f>
        <v>0</v>
      </c>
      <c r="T9" s="338"/>
      <c r="U9" s="356"/>
      <c r="V9" s="339"/>
      <c r="W9" s="333"/>
      <c r="AE9" s="340"/>
      <c r="AF9" s="357" t="str">
        <f>IF(A7="","",A7)</f>
        <v/>
      </c>
      <c r="AG9" s="358" t="str">
        <f>IF(AF9="","",H11)</f>
        <v/>
      </c>
    </row>
    <row r="10" spans="1:33" x14ac:dyDescent="0.2">
      <c r="A10" s="359"/>
      <c r="C10" s="352"/>
      <c r="D10" s="65"/>
      <c r="E10" s="65"/>
      <c r="F10" s="65"/>
      <c r="G10" s="65"/>
      <c r="H10" s="25"/>
      <c r="K10" s="354"/>
      <c r="L10" s="352"/>
      <c r="M10" s="352"/>
      <c r="N10" s="65"/>
      <c r="O10" s="65"/>
      <c r="P10" s="65"/>
      <c r="Q10" s="65"/>
      <c r="R10" s="25"/>
      <c r="W10" s="333"/>
      <c r="AE10" s="351"/>
      <c r="AF10" s="357" t="str">
        <f>IF(A14="","",A14)</f>
        <v/>
      </c>
      <c r="AG10" s="358" t="str">
        <f>IF(AF10="","",H18)</f>
        <v/>
      </c>
    </row>
    <row r="11" spans="1:33" x14ac:dyDescent="0.2">
      <c r="A11" s="360"/>
      <c r="B11" s="361"/>
      <c r="C11" s="362"/>
      <c r="D11" s="362"/>
      <c r="E11" s="362"/>
      <c r="F11" s="362"/>
      <c r="G11" s="363" t="s">
        <v>244</v>
      </c>
      <c r="H11" s="26">
        <f>SUM(H7:H10)</f>
        <v>0</v>
      </c>
      <c r="K11" s="360"/>
      <c r="L11" s="362"/>
      <c r="M11" s="362"/>
      <c r="N11" s="362"/>
      <c r="O11" s="362"/>
      <c r="P11" s="362"/>
      <c r="Q11" s="363" t="s">
        <v>244</v>
      </c>
      <c r="R11" s="26">
        <f>SUM(R7:R10)</f>
        <v>0</v>
      </c>
      <c r="T11" s="364"/>
      <c r="U11" s="365"/>
      <c r="W11" s="333"/>
      <c r="AF11" s="357" t="str">
        <f>IF(A21="","",A21)</f>
        <v/>
      </c>
      <c r="AG11" s="358" t="str">
        <f>IF(AF11="","",H25)</f>
        <v/>
      </c>
    </row>
    <row r="12" spans="1:33" x14ac:dyDescent="0.2">
      <c r="B12" s="366"/>
      <c r="C12" s="367"/>
      <c r="D12" s="367"/>
      <c r="E12" s="367"/>
      <c r="F12" s="367"/>
      <c r="G12" s="367"/>
      <c r="H12" s="21"/>
      <c r="L12" s="367"/>
      <c r="M12" s="367"/>
      <c r="N12" s="367"/>
      <c r="O12" s="367"/>
      <c r="P12" s="367"/>
      <c r="Q12" s="367"/>
      <c r="R12" s="21"/>
      <c r="W12" s="333"/>
      <c r="AF12" s="357" t="str">
        <f>IF(A28="","",A28)</f>
        <v/>
      </c>
      <c r="AG12" s="358" t="str">
        <f>IF(AF12="","",H32)</f>
        <v/>
      </c>
    </row>
    <row r="13" spans="1:33" ht="51" x14ac:dyDescent="0.2">
      <c r="A13" s="344" t="s">
        <v>59</v>
      </c>
      <c r="B13" s="368" t="s">
        <v>156</v>
      </c>
      <c r="C13" s="349" t="s">
        <v>123</v>
      </c>
      <c r="D13" s="349" t="s">
        <v>122</v>
      </c>
      <c r="E13" s="349" t="s">
        <v>124</v>
      </c>
      <c r="F13" s="349" t="s">
        <v>121</v>
      </c>
      <c r="G13" s="350" t="s">
        <v>146</v>
      </c>
      <c r="H13" s="24" t="s">
        <v>125</v>
      </c>
      <c r="K13" s="344" t="s">
        <v>59</v>
      </c>
      <c r="L13" s="348" t="s">
        <v>156</v>
      </c>
      <c r="M13" s="349" t="s">
        <v>123</v>
      </c>
      <c r="N13" s="349" t="s">
        <v>122</v>
      </c>
      <c r="O13" s="349" t="s">
        <v>124</v>
      </c>
      <c r="P13" s="349" t="s">
        <v>121</v>
      </c>
      <c r="Q13" s="350" t="s">
        <v>146</v>
      </c>
      <c r="R13" s="24" t="s">
        <v>125</v>
      </c>
      <c r="W13" s="333"/>
      <c r="AF13" s="357" t="str">
        <f>IF(A35="","",A35)</f>
        <v/>
      </c>
      <c r="AG13" s="358" t="str">
        <f>IF(AF13="","",H39)</f>
        <v/>
      </c>
    </row>
    <row r="14" spans="1:33" x14ac:dyDescent="0.2">
      <c r="A14" s="91"/>
      <c r="B14" s="352" t="s">
        <v>144</v>
      </c>
      <c r="C14" s="352">
        <f>+C7</f>
        <v>0</v>
      </c>
      <c r="D14" s="65">
        <f>D7</f>
        <v>0</v>
      </c>
      <c r="E14" s="65">
        <f>$E$7</f>
        <v>0</v>
      </c>
      <c r="F14" s="90"/>
      <c r="G14" s="90"/>
      <c r="H14" s="25">
        <f>(100-G14)/100*(D14/12*E14)</f>
        <v>0</v>
      </c>
      <c r="K14" s="88"/>
      <c r="L14" s="352" t="s">
        <v>144</v>
      </c>
      <c r="M14" s="352">
        <f>+M7</f>
        <v>0</v>
      </c>
      <c r="N14" s="65">
        <f>+D21</f>
        <v>0</v>
      </c>
      <c r="O14" s="65">
        <f>$E$7</f>
        <v>0</v>
      </c>
      <c r="P14" s="90"/>
      <c r="Q14" s="90"/>
      <c r="R14" s="25">
        <f>(100-Q14)/100*(N14/12*O14)</f>
        <v>0</v>
      </c>
      <c r="W14" s="333"/>
      <c r="AF14" s="357" t="str">
        <f>IF(A42="","",A42)</f>
        <v/>
      </c>
      <c r="AG14" s="358" t="str">
        <f>IF(AF14="","",H46)</f>
        <v/>
      </c>
    </row>
    <row r="15" spans="1:33" x14ac:dyDescent="0.2">
      <c r="A15" s="369"/>
      <c r="B15" s="352" t="s">
        <v>145</v>
      </c>
      <c r="C15" s="352">
        <f>+C8</f>
        <v>0</v>
      </c>
      <c r="D15" s="65">
        <f>D8</f>
        <v>0</v>
      </c>
      <c r="E15" s="65">
        <f>$E$8</f>
        <v>0</v>
      </c>
      <c r="F15" s="90"/>
      <c r="G15" s="90"/>
      <c r="H15" s="25">
        <f>(100-G15)/100*((D15-D14)/12*E15)</f>
        <v>0</v>
      </c>
      <c r="K15" s="354"/>
      <c r="L15" s="352" t="s">
        <v>145</v>
      </c>
      <c r="M15" s="352">
        <f>+M8</f>
        <v>0</v>
      </c>
      <c r="N15" s="65">
        <f>+D22</f>
        <v>0</v>
      </c>
      <c r="O15" s="65">
        <f>$E$8</f>
        <v>0</v>
      </c>
      <c r="P15" s="90"/>
      <c r="Q15" s="90"/>
      <c r="R15" s="25">
        <f>(100-Q15)/100*((N15-N14)/12*O15)</f>
        <v>0</v>
      </c>
      <c r="W15" s="333"/>
      <c r="AF15" s="357" t="str">
        <f>IF(K7="","",K7)</f>
        <v/>
      </c>
      <c r="AG15" s="358" t="str">
        <f>IF(AF15="","",R11)</f>
        <v/>
      </c>
    </row>
    <row r="16" spans="1:33" x14ac:dyDescent="0.2">
      <c r="A16" s="370"/>
      <c r="B16" s="352" t="s">
        <v>242</v>
      </c>
      <c r="C16" s="352">
        <f>+C9</f>
        <v>0</v>
      </c>
      <c r="D16" s="65">
        <f>D9</f>
        <v>0</v>
      </c>
      <c r="E16" s="65">
        <f>$E$9</f>
        <v>0</v>
      </c>
      <c r="F16" s="90"/>
      <c r="G16" s="90"/>
      <c r="H16" s="25">
        <f>(100-G16)/100*((D16-D15)/12*E16)</f>
        <v>0</v>
      </c>
      <c r="K16" s="355"/>
      <c r="L16" s="352" t="s">
        <v>242</v>
      </c>
      <c r="M16" s="352">
        <f>+M9</f>
        <v>0</v>
      </c>
      <c r="N16" s="65">
        <f>+D23</f>
        <v>0</v>
      </c>
      <c r="O16" s="65">
        <f>$E$9</f>
        <v>0</v>
      </c>
      <c r="P16" s="90"/>
      <c r="Q16" s="90"/>
      <c r="R16" s="25">
        <f>(100-Q16)/100*((N16-N15)/12*O16)</f>
        <v>0</v>
      </c>
      <c r="W16" s="333"/>
      <c r="AF16" s="357" t="str">
        <f>IF(K14="","",K14)</f>
        <v/>
      </c>
      <c r="AG16" s="358" t="str">
        <f>IF(AF16="","",R18)</f>
        <v/>
      </c>
    </row>
    <row r="17" spans="1:33" x14ac:dyDescent="0.2">
      <c r="A17" s="354"/>
      <c r="B17" s="352"/>
      <c r="C17" s="352"/>
      <c r="D17" s="65"/>
      <c r="E17" s="65"/>
      <c r="F17" s="65"/>
      <c r="G17" s="65"/>
      <c r="H17" s="25"/>
      <c r="K17" s="354"/>
      <c r="L17" s="352"/>
      <c r="M17" s="352"/>
      <c r="N17" s="65"/>
      <c r="O17" s="65"/>
      <c r="P17" s="65"/>
      <c r="Q17" s="65"/>
      <c r="R17" s="25"/>
      <c r="AF17" s="357" t="str">
        <f>IF(K21="","",K21)</f>
        <v/>
      </c>
      <c r="AG17" s="358" t="str">
        <f>IF(AF17="","",R25)</f>
        <v/>
      </c>
    </row>
    <row r="18" spans="1:33" x14ac:dyDescent="0.2">
      <c r="A18" s="360"/>
      <c r="B18" s="361"/>
      <c r="C18" s="362"/>
      <c r="D18" s="362"/>
      <c r="E18" s="362"/>
      <c r="F18" s="362"/>
      <c r="G18" s="363" t="s">
        <v>244</v>
      </c>
      <c r="H18" s="26">
        <f>SUM(H14:H17)</f>
        <v>0</v>
      </c>
      <c r="K18" s="360"/>
      <c r="L18" s="362"/>
      <c r="M18" s="362"/>
      <c r="N18" s="362"/>
      <c r="O18" s="362"/>
      <c r="P18" s="362"/>
      <c r="Q18" s="363" t="s">
        <v>244</v>
      </c>
      <c r="R18" s="26">
        <f>SUM(R14:R17)</f>
        <v>0</v>
      </c>
      <c r="AF18" s="357" t="str">
        <f>IF(K28="","",K28)</f>
        <v/>
      </c>
      <c r="AG18" s="358" t="str">
        <f>IF(AF18="","",R32)</f>
        <v/>
      </c>
    </row>
    <row r="19" spans="1:33" x14ac:dyDescent="0.2">
      <c r="A19" s="371"/>
      <c r="B19" s="366"/>
      <c r="C19" s="367"/>
      <c r="D19" s="367"/>
      <c r="E19" s="367"/>
      <c r="F19" s="367"/>
      <c r="G19" s="367"/>
      <c r="H19" s="21"/>
      <c r="K19" s="371"/>
      <c r="L19" s="367"/>
      <c r="M19" s="367"/>
      <c r="N19" s="367"/>
      <c r="O19" s="367"/>
      <c r="P19" s="367"/>
      <c r="Q19" s="367"/>
      <c r="R19" s="21"/>
      <c r="AF19" s="357" t="str">
        <f>IF(K35="","",K35)</f>
        <v/>
      </c>
      <c r="AG19" s="358" t="str">
        <f>IF(AF19="","",R39)</f>
        <v/>
      </c>
    </row>
    <row r="20" spans="1:33" ht="51" x14ac:dyDescent="0.2">
      <c r="A20" s="344" t="s">
        <v>59</v>
      </c>
      <c r="B20" s="368" t="s">
        <v>156</v>
      </c>
      <c r="C20" s="349" t="s">
        <v>123</v>
      </c>
      <c r="D20" s="349" t="s">
        <v>122</v>
      </c>
      <c r="E20" s="349" t="s">
        <v>124</v>
      </c>
      <c r="F20" s="349" t="s">
        <v>121</v>
      </c>
      <c r="G20" s="350" t="s">
        <v>146</v>
      </c>
      <c r="H20" s="24" t="s">
        <v>125</v>
      </c>
      <c r="K20" s="344" t="s">
        <v>59</v>
      </c>
      <c r="L20" s="348" t="s">
        <v>126</v>
      </c>
      <c r="M20" s="349" t="s">
        <v>123</v>
      </c>
      <c r="N20" s="349" t="s">
        <v>122</v>
      </c>
      <c r="O20" s="349" t="s">
        <v>124</v>
      </c>
      <c r="P20" s="349" t="s">
        <v>121</v>
      </c>
      <c r="Q20" s="350" t="s">
        <v>146</v>
      </c>
      <c r="R20" s="24" t="s">
        <v>125</v>
      </c>
      <c r="T20" s="542" t="s">
        <v>240</v>
      </c>
      <c r="U20" s="542"/>
      <c r="V20" s="542"/>
      <c r="W20" s="542"/>
      <c r="X20" s="542"/>
      <c r="Y20" s="542"/>
      <c r="Z20" s="542"/>
      <c r="AF20" s="357" t="str">
        <f>IF(K42="","",K42)</f>
        <v/>
      </c>
      <c r="AG20" s="358" t="str">
        <f>IF(AF20="","",R46)</f>
        <v/>
      </c>
    </row>
    <row r="21" spans="1:33" x14ac:dyDescent="0.2">
      <c r="A21" s="91"/>
      <c r="B21" s="352" t="s">
        <v>144</v>
      </c>
      <c r="C21" s="352">
        <f t="shared" ref="C21:D23" si="0">+C14</f>
        <v>0</v>
      </c>
      <c r="D21" s="65">
        <f t="shared" si="0"/>
        <v>0</v>
      </c>
      <c r="E21" s="65">
        <f>$E$7</f>
        <v>0</v>
      </c>
      <c r="F21" s="90"/>
      <c r="G21" s="90"/>
      <c r="H21" s="25">
        <f>(100-G21)/100*(D21/12*E21)</f>
        <v>0</v>
      </c>
      <c r="K21" s="88"/>
      <c r="L21" s="352" t="s">
        <v>144</v>
      </c>
      <c r="M21" s="352">
        <f>+M14</f>
        <v>0</v>
      </c>
      <c r="N21" s="65">
        <f>+D28</f>
        <v>0</v>
      </c>
      <c r="O21" s="65">
        <f>$E$7</f>
        <v>0</v>
      </c>
      <c r="P21" s="90"/>
      <c r="Q21" s="90"/>
      <c r="R21" s="25">
        <f>(100-Q21)/100*(N21/12*O21)</f>
        <v>0</v>
      </c>
    </row>
    <row r="22" spans="1:33" x14ac:dyDescent="0.2">
      <c r="A22" s="354"/>
      <c r="B22" s="352" t="s">
        <v>145</v>
      </c>
      <c r="C22" s="352">
        <f t="shared" si="0"/>
        <v>0</v>
      </c>
      <c r="D22" s="65">
        <f t="shared" si="0"/>
        <v>0</v>
      </c>
      <c r="E22" s="65">
        <f>$E$8</f>
        <v>0</v>
      </c>
      <c r="F22" s="90"/>
      <c r="G22" s="90"/>
      <c r="H22" s="25">
        <f>(100-G22)/100*((D22-D21)/12*E22)</f>
        <v>0</v>
      </c>
      <c r="K22" s="354"/>
      <c r="L22" s="352" t="s">
        <v>145</v>
      </c>
      <c r="M22" s="352">
        <f>+M15</f>
        <v>0</v>
      </c>
      <c r="N22" s="65">
        <f>+D29</f>
        <v>0</v>
      </c>
      <c r="O22" s="65">
        <f>$E$8</f>
        <v>0</v>
      </c>
      <c r="P22" s="90"/>
      <c r="Q22" s="90"/>
      <c r="R22" s="25">
        <f>(100-Q22)/100*((N22-N21)/12*O22)</f>
        <v>0</v>
      </c>
    </row>
    <row r="23" spans="1:33" x14ac:dyDescent="0.2">
      <c r="A23" s="355"/>
      <c r="B23" s="352" t="s">
        <v>243</v>
      </c>
      <c r="C23" s="352">
        <f t="shared" si="0"/>
        <v>0</v>
      </c>
      <c r="D23" s="65">
        <f t="shared" si="0"/>
        <v>0</v>
      </c>
      <c r="E23" s="65">
        <f>$E$9</f>
        <v>0</v>
      </c>
      <c r="F23" s="90"/>
      <c r="G23" s="90"/>
      <c r="H23" s="25">
        <f>(100-G23)/100*((D23-D22)/12*E23)</f>
        <v>0</v>
      </c>
      <c r="K23" s="355"/>
      <c r="L23" s="352" t="s">
        <v>243</v>
      </c>
      <c r="M23" s="352">
        <f>+M16</f>
        <v>0</v>
      </c>
      <c r="N23" s="65">
        <f>+D30</f>
        <v>0</v>
      </c>
      <c r="O23" s="65">
        <f>$E$9</f>
        <v>0</v>
      </c>
      <c r="P23" s="89"/>
      <c r="Q23" s="89"/>
      <c r="R23" s="25">
        <f>(100-Q23)/100*((N23-N22)/12*O23)</f>
        <v>0</v>
      </c>
      <c r="T23" s="365"/>
    </row>
    <row r="24" spans="1:33" x14ac:dyDescent="0.2">
      <c r="A24" s="354"/>
      <c r="B24" s="352"/>
      <c r="C24" s="352"/>
      <c r="D24" s="65"/>
      <c r="E24" s="65"/>
      <c r="F24" s="65"/>
      <c r="G24" s="65"/>
      <c r="H24" s="25"/>
      <c r="K24" s="354"/>
      <c r="L24" s="352"/>
      <c r="M24" s="352"/>
      <c r="N24" s="65"/>
      <c r="O24" s="65"/>
      <c r="P24" s="65"/>
      <c r="Q24" s="65"/>
      <c r="R24" s="25"/>
    </row>
    <row r="25" spans="1:33" x14ac:dyDescent="0.2">
      <c r="A25" s="360"/>
      <c r="B25" s="361"/>
      <c r="C25" s="362"/>
      <c r="D25" s="362"/>
      <c r="E25" s="362"/>
      <c r="F25" s="362"/>
      <c r="G25" s="363" t="s">
        <v>244</v>
      </c>
      <c r="H25" s="26">
        <f>SUM(H21:H24)</f>
        <v>0</v>
      </c>
      <c r="K25" s="360"/>
      <c r="L25" s="362"/>
      <c r="M25" s="362"/>
      <c r="N25" s="362"/>
      <c r="O25" s="362"/>
      <c r="P25" s="362"/>
      <c r="Q25" s="363" t="s">
        <v>244</v>
      </c>
      <c r="R25" s="26">
        <f>SUM(R21:R24)</f>
        <v>0</v>
      </c>
    </row>
    <row r="26" spans="1:33" x14ac:dyDescent="0.2">
      <c r="A26" s="371"/>
      <c r="B26" s="367"/>
      <c r="C26" s="367"/>
      <c r="D26" s="367"/>
      <c r="E26" s="367"/>
      <c r="F26" s="367"/>
      <c r="G26" s="367"/>
      <c r="H26" s="21"/>
    </row>
    <row r="27" spans="1:33" ht="51" x14ac:dyDescent="0.2">
      <c r="A27" s="344" t="s">
        <v>59</v>
      </c>
      <c r="B27" s="348" t="s">
        <v>156</v>
      </c>
      <c r="C27" s="349" t="s">
        <v>123</v>
      </c>
      <c r="D27" s="349" t="s">
        <v>122</v>
      </c>
      <c r="E27" s="349" t="s">
        <v>124</v>
      </c>
      <c r="F27" s="349" t="s">
        <v>121</v>
      </c>
      <c r="G27" s="350" t="s">
        <v>146</v>
      </c>
      <c r="H27" s="24" t="s">
        <v>125</v>
      </c>
      <c r="K27" s="344" t="s">
        <v>59</v>
      </c>
      <c r="L27" s="348" t="s">
        <v>156</v>
      </c>
      <c r="M27" s="349" t="s">
        <v>123</v>
      </c>
      <c r="N27" s="349" t="s">
        <v>122</v>
      </c>
      <c r="O27" s="349" t="s">
        <v>124</v>
      </c>
      <c r="P27" s="349" t="s">
        <v>121</v>
      </c>
      <c r="Q27" s="350" t="s">
        <v>146</v>
      </c>
      <c r="R27" s="24" t="s">
        <v>125</v>
      </c>
    </row>
    <row r="28" spans="1:33" x14ac:dyDescent="0.2">
      <c r="A28" s="91"/>
      <c r="B28" s="352" t="s">
        <v>144</v>
      </c>
      <c r="C28" s="352">
        <f t="shared" ref="C28:D30" si="1">+C21</f>
        <v>0</v>
      </c>
      <c r="D28" s="65">
        <f t="shared" si="1"/>
        <v>0</v>
      </c>
      <c r="E28" s="65">
        <f>$E$7</f>
        <v>0</v>
      </c>
      <c r="F28" s="90"/>
      <c r="G28" s="90"/>
      <c r="H28" s="25">
        <f>(100-G28)/100*(D28/12*E28)</f>
        <v>0</v>
      </c>
      <c r="K28" s="88"/>
      <c r="L28" s="352" t="s">
        <v>144</v>
      </c>
      <c r="M28" s="352">
        <f>+C63</f>
        <v>0</v>
      </c>
      <c r="N28" s="65">
        <f>+D35</f>
        <v>0</v>
      </c>
      <c r="O28" s="65">
        <f>$E$7</f>
        <v>0</v>
      </c>
      <c r="P28" s="90"/>
      <c r="Q28" s="90"/>
      <c r="R28" s="25">
        <f>(100-Q28)/100*(N28/12*O28)</f>
        <v>0</v>
      </c>
    </row>
    <row r="29" spans="1:33" x14ac:dyDescent="0.2">
      <c r="A29" s="354"/>
      <c r="B29" s="352" t="s">
        <v>145</v>
      </c>
      <c r="C29" s="352">
        <f t="shared" si="1"/>
        <v>0</v>
      </c>
      <c r="D29" s="65">
        <f t="shared" si="1"/>
        <v>0</v>
      </c>
      <c r="E29" s="65">
        <f>$E$8</f>
        <v>0</v>
      </c>
      <c r="F29" s="90"/>
      <c r="G29" s="90"/>
      <c r="H29" s="25">
        <f>(100-G29)/100*((D29-D28)/12*E29)</f>
        <v>0</v>
      </c>
      <c r="K29" s="354"/>
      <c r="L29" s="352" t="s">
        <v>145</v>
      </c>
      <c r="M29" s="352">
        <f>+C64</f>
        <v>0</v>
      </c>
      <c r="N29" s="65">
        <f>+D36</f>
        <v>0</v>
      </c>
      <c r="O29" s="65">
        <f>$E$8</f>
        <v>0</v>
      </c>
      <c r="P29" s="90"/>
      <c r="Q29" s="90"/>
      <c r="R29" s="25">
        <f>(100-Q29)/100*((N29-N28)/12*O29)</f>
        <v>0</v>
      </c>
    </row>
    <row r="30" spans="1:33" x14ac:dyDescent="0.2">
      <c r="A30" s="355"/>
      <c r="B30" s="352" t="s">
        <v>243</v>
      </c>
      <c r="C30" s="352">
        <f t="shared" si="1"/>
        <v>0</v>
      </c>
      <c r="D30" s="65">
        <f t="shared" si="1"/>
        <v>0</v>
      </c>
      <c r="E30" s="65">
        <f>$E$9</f>
        <v>0</v>
      </c>
      <c r="F30" s="90"/>
      <c r="G30" s="90"/>
      <c r="H30" s="25">
        <f>(100-G30)/100*((D30-D29)/12*E30)</f>
        <v>0</v>
      </c>
      <c r="K30" s="355"/>
      <c r="L30" s="352" t="s">
        <v>242</v>
      </c>
      <c r="M30" s="352">
        <f>+C65</f>
        <v>0</v>
      </c>
      <c r="N30" s="65">
        <f>+D37</f>
        <v>0</v>
      </c>
      <c r="O30" s="65">
        <f>$E$9</f>
        <v>0</v>
      </c>
      <c r="P30" s="90"/>
      <c r="Q30" s="90"/>
      <c r="R30" s="25">
        <f>(100-Q30)/100*((N30-N29)/12*O30)</f>
        <v>0</v>
      </c>
    </row>
    <row r="31" spans="1:33" x14ac:dyDescent="0.2">
      <c r="A31" s="354"/>
      <c r="B31" s="352"/>
      <c r="C31" s="352"/>
      <c r="D31" s="65"/>
      <c r="E31" s="65"/>
      <c r="F31" s="65"/>
      <c r="G31" s="65"/>
      <c r="H31" s="25"/>
      <c r="K31" s="354"/>
      <c r="L31" s="352"/>
      <c r="M31" s="352"/>
      <c r="N31" s="65"/>
      <c r="O31" s="65"/>
      <c r="P31" s="65"/>
      <c r="Q31" s="65"/>
      <c r="R31" s="25"/>
    </row>
    <row r="32" spans="1:33" x14ac:dyDescent="0.2">
      <c r="A32" s="360"/>
      <c r="B32" s="362"/>
      <c r="C32" s="362"/>
      <c r="D32" s="362"/>
      <c r="E32" s="362"/>
      <c r="F32" s="362"/>
      <c r="G32" s="363" t="s">
        <v>244</v>
      </c>
      <c r="H32" s="26">
        <f>SUM(H28:H31)</f>
        <v>0</v>
      </c>
      <c r="K32" s="360"/>
      <c r="L32" s="362"/>
      <c r="M32" s="362"/>
      <c r="N32" s="362"/>
      <c r="O32" s="362"/>
      <c r="P32" s="362"/>
      <c r="Q32" s="363" t="s">
        <v>244</v>
      </c>
      <c r="R32" s="26">
        <f>SUM(R28:R31)</f>
        <v>0</v>
      </c>
    </row>
    <row r="33" spans="1:34" x14ac:dyDescent="0.2">
      <c r="B33" s="367"/>
      <c r="C33" s="367"/>
      <c r="D33" s="367"/>
      <c r="E33" s="367"/>
      <c r="F33" s="367"/>
      <c r="G33" s="367"/>
      <c r="H33" s="21"/>
      <c r="L33" s="367"/>
      <c r="M33" s="367"/>
      <c r="N33" s="367"/>
      <c r="O33" s="367"/>
      <c r="P33" s="367"/>
      <c r="Q33" s="367"/>
      <c r="R33" s="21"/>
      <c r="U33" s="372" t="s">
        <v>326</v>
      </c>
    </row>
    <row r="34" spans="1:34" ht="51" x14ac:dyDescent="0.2">
      <c r="A34" s="344" t="s">
        <v>59</v>
      </c>
      <c r="B34" s="348" t="s">
        <v>156</v>
      </c>
      <c r="C34" s="349" t="s">
        <v>123</v>
      </c>
      <c r="D34" s="349" t="s">
        <v>122</v>
      </c>
      <c r="E34" s="349" t="s">
        <v>124</v>
      </c>
      <c r="F34" s="349" t="s">
        <v>121</v>
      </c>
      <c r="G34" s="350" t="s">
        <v>146</v>
      </c>
      <c r="H34" s="24" t="s">
        <v>125</v>
      </c>
      <c r="K34" s="344" t="s">
        <v>59</v>
      </c>
      <c r="L34" s="368" t="s">
        <v>156</v>
      </c>
      <c r="M34" s="373" t="s">
        <v>123</v>
      </c>
      <c r="N34" s="373" t="s">
        <v>122</v>
      </c>
      <c r="O34" s="349" t="s">
        <v>124</v>
      </c>
      <c r="P34" s="349" t="s">
        <v>121</v>
      </c>
      <c r="Q34" s="350" t="s">
        <v>146</v>
      </c>
      <c r="R34" s="24" t="s">
        <v>125</v>
      </c>
      <c r="U34" s="374"/>
      <c r="AF34" s="375" t="s">
        <v>85</v>
      </c>
      <c r="AG34" s="376" t="s">
        <v>247</v>
      </c>
      <c r="AH34" s="377" t="s">
        <v>248</v>
      </c>
    </row>
    <row r="35" spans="1:34" x14ac:dyDescent="0.2">
      <c r="A35" s="88"/>
      <c r="B35" s="352" t="s">
        <v>144</v>
      </c>
      <c r="C35" s="352">
        <f t="shared" ref="C35:D37" si="2">+C28</f>
        <v>0</v>
      </c>
      <c r="D35" s="65">
        <f t="shared" si="2"/>
        <v>0</v>
      </c>
      <c r="E35" s="65">
        <f>$E$7</f>
        <v>0</v>
      </c>
      <c r="F35" s="90"/>
      <c r="G35" s="90"/>
      <c r="H35" s="25">
        <f>(100-G35)/100*(D35/12*E35)</f>
        <v>0</v>
      </c>
      <c r="K35" s="88"/>
      <c r="L35" s="352" t="s">
        <v>144</v>
      </c>
      <c r="M35" s="352">
        <f>+M28</f>
        <v>0</v>
      </c>
      <c r="N35" s="65">
        <f>+D42</f>
        <v>0</v>
      </c>
      <c r="O35" s="65">
        <f>$E$7</f>
        <v>0</v>
      </c>
      <c r="P35" s="90"/>
      <c r="Q35" s="90"/>
      <c r="R35" s="25">
        <f>(100-Q35)/100*(N35/12*O35)</f>
        <v>0</v>
      </c>
      <c r="AF35" s="156" t="s">
        <v>245</v>
      </c>
      <c r="AG35" s="378">
        <v>0.5</v>
      </c>
      <c r="AH35" s="156" t="s">
        <v>246</v>
      </c>
    </row>
    <row r="36" spans="1:34" x14ac:dyDescent="0.2">
      <c r="A36" s="354"/>
      <c r="B36" s="352" t="s">
        <v>145</v>
      </c>
      <c r="C36" s="352">
        <f t="shared" si="2"/>
        <v>0</v>
      </c>
      <c r="D36" s="65">
        <f t="shared" si="2"/>
        <v>0</v>
      </c>
      <c r="E36" s="65">
        <f>$E$8</f>
        <v>0</v>
      </c>
      <c r="F36" s="90"/>
      <c r="G36" s="90"/>
      <c r="H36" s="25">
        <f>(100-G36)/100*((D36-D35)/12*E36)</f>
        <v>0</v>
      </c>
      <c r="K36" s="354"/>
      <c r="L36" s="352" t="s">
        <v>145</v>
      </c>
      <c r="M36" s="352">
        <f>+M29</f>
        <v>0</v>
      </c>
      <c r="N36" s="65">
        <f>+D43</f>
        <v>0</v>
      </c>
      <c r="O36" s="65">
        <f>$E$8</f>
        <v>0</v>
      </c>
      <c r="P36" s="90"/>
      <c r="Q36" s="90"/>
      <c r="R36" s="25">
        <f>(100-Q36)/100*((N36-N35)/12*O36)</f>
        <v>0</v>
      </c>
      <c r="AF36" s="379" t="s">
        <v>95</v>
      </c>
      <c r="AG36" s="380">
        <v>1.8</v>
      </c>
      <c r="AH36" s="156" t="s">
        <v>249</v>
      </c>
    </row>
    <row r="37" spans="1:34" x14ac:dyDescent="0.2">
      <c r="A37" s="355"/>
      <c r="B37" s="352" t="s">
        <v>243</v>
      </c>
      <c r="C37" s="352">
        <f t="shared" si="2"/>
        <v>0</v>
      </c>
      <c r="D37" s="65">
        <f t="shared" si="2"/>
        <v>0</v>
      </c>
      <c r="E37" s="65">
        <f>$E$9</f>
        <v>0</v>
      </c>
      <c r="F37" s="90"/>
      <c r="G37" s="90"/>
      <c r="H37" s="25">
        <f>(100-G37)/100*((D37-D36)/12*E37)</f>
        <v>0</v>
      </c>
      <c r="K37" s="355"/>
      <c r="L37" s="352" t="s">
        <v>243</v>
      </c>
      <c r="M37" s="352">
        <f>+M30</f>
        <v>0</v>
      </c>
      <c r="N37" s="65">
        <f>+D44</f>
        <v>0</v>
      </c>
      <c r="O37" s="65">
        <f>$E$9</f>
        <v>0</v>
      </c>
      <c r="P37" s="90"/>
      <c r="Q37" s="90"/>
      <c r="R37" s="25">
        <f>(100-Q37)/100*((N37-N36)/12*O37)</f>
        <v>0</v>
      </c>
      <c r="AF37" s="379" t="s">
        <v>93</v>
      </c>
      <c r="AG37" s="380">
        <v>2.4</v>
      </c>
      <c r="AH37" s="156" t="s">
        <v>249</v>
      </c>
    </row>
    <row r="38" spans="1:34" x14ac:dyDescent="0.2">
      <c r="A38" s="354"/>
      <c r="B38" s="352"/>
      <c r="C38" s="352"/>
      <c r="D38" s="65"/>
      <c r="E38" s="65"/>
      <c r="F38" s="65"/>
      <c r="G38" s="65"/>
      <c r="H38" s="25"/>
      <c r="K38" s="354"/>
      <c r="L38" s="352"/>
      <c r="M38" s="352"/>
      <c r="N38" s="65"/>
      <c r="O38" s="65"/>
      <c r="P38" s="65"/>
      <c r="Q38" s="65"/>
      <c r="R38" s="25"/>
      <c r="AF38" s="379" t="s">
        <v>86</v>
      </c>
      <c r="AG38" s="380">
        <v>0.75</v>
      </c>
      <c r="AH38" s="156" t="s">
        <v>249</v>
      </c>
    </row>
    <row r="39" spans="1:34" x14ac:dyDescent="0.2">
      <c r="A39" s="360"/>
      <c r="B39" s="362"/>
      <c r="C39" s="362"/>
      <c r="D39" s="362"/>
      <c r="E39" s="362"/>
      <c r="F39" s="362"/>
      <c r="G39" s="363" t="s">
        <v>244</v>
      </c>
      <c r="H39" s="26">
        <f>SUM(H35:H38)</f>
        <v>0</v>
      </c>
      <c r="K39" s="360"/>
      <c r="L39" s="362"/>
      <c r="M39" s="362"/>
      <c r="N39" s="362"/>
      <c r="O39" s="361"/>
      <c r="P39" s="361"/>
      <c r="Q39" s="363" t="s">
        <v>244</v>
      </c>
      <c r="R39" s="26">
        <f>SUM(R35:R38)</f>
        <v>0</v>
      </c>
      <c r="AF39" s="379" t="s">
        <v>89</v>
      </c>
      <c r="AG39" s="380">
        <v>1.7</v>
      </c>
      <c r="AH39" s="156" t="s">
        <v>249</v>
      </c>
    </row>
    <row r="40" spans="1:34" x14ac:dyDescent="0.2">
      <c r="A40" s="371"/>
      <c r="B40" s="367"/>
      <c r="C40" s="367"/>
      <c r="D40" s="367"/>
      <c r="E40" s="367"/>
      <c r="F40" s="367"/>
      <c r="G40" s="367"/>
      <c r="H40" s="21"/>
      <c r="K40" s="371"/>
      <c r="L40" s="367"/>
      <c r="M40" s="367"/>
      <c r="N40" s="367"/>
      <c r="O40" s="367"/>
      <c r="P40" s="367"/>
      <c r="Q40" s="367"/>
      <c r="R40" s="21"/>
      <c r="AF40" s="379" t="s">
        <v>90</v>
      </c>
      <c r="AG40" s="380">
        <v>2</v>
      </c>
      <c r="AH40" s="156" t="s">
        <v>249</v>
      </c>
    </row>
    <row r="41" spans="1:34" ht="51" x14ac:dyDescent="0.2">
      <c r="A41" s="344" t="s">
        <v>59</v>
      </c>
      <c r="B41" s="348" t="s">
        <v>126</v>
      </c>
      <c r="C41" s="349" t="s">
        <v>123</v>
      </c>
      <c r="D41" s="349" t="s">
        <v>122</v>
      </c>
      <c r="E41" s="349" t="s">
        <v>124</v>
      </c>
      <c r="F41" s="349" t="s">
        <v>121</v>
      </c>
      <c r="G41" s="350" t="s">
        <v>146</v>
      </c>
      <c r="H41" s="24" t="s">
        <v>125</v>
      </c>
      <c r="K41" s="344" t="s">
        <v>59</v>
      </c>
      <c r="L41" s="348" t="s">
        <v>126</v>
      </c>
      <c r="M41" s="349" t="s">
        <v>123</v>
      </c>
      <c r="N41" s="349" t="s">
        <v>122</v>
      </c>
      <c r="O41" s="349" t="s">
        <v>124</v>
      </c>
      <c r="P41" s="349" t="s">
        <v>121</v>
      </c>
      <c r="Q41" s="350" t="s">
        <v>146</v>
      </c>
      <c r="R41" s="24" t="s">
        <v>125</v>
      </c>
      <c r="AF41" s="379" t="s">
        <v>87</v>
      </c>
      <c r="AG41" s="380">
        <v>1.25</v>
      </c>
      <c r="AH41" s="156" t="s">
        <v>249</v>
      </c>
    </row>
    <row r="42" spans="1:34" x14ac:dyDescent="0.2">
      <c r="A42" s="88"/>
      <c r="B42" s="352" t="s">
        <v>144</v>
      </c>
      <c r="C42" s="352">
        <f t="shared" ref="C42:D44" si="3">+C35</f>
        <v>0</v>
      </c>
      <c r="D42" s="65">
        <f t="shared" si="3"/>
        <v>0</v>
      </c>
      <c r="E42" s="65">
        <f>$E$7</f>
        <v>0</v>
      </c>
      <c r="F42" s="90"/>
      <c r="G42" s="90"/>
      <c r="H42" s="25">
        <f>(100-G42)/100*(D42/12*E42)</f>
        <v>0</v>
      </c>
      <c r="K42" s="88"/>
      <c r="L42" s="352" t="s">
        <v>144</v>
      </c>
      <c r="M42" s="352">
        <f>+M35</f>
        <v>0</v>
      </c>
      <c r="N42" s="65">
        <f>+D49</f>
        <v>0</v>
      </c>
      <c r="O42" s="65">
        <f>$E$7</f>
        <v>0</v>
      </c>
      <c r="P42" s="90"/>
      <c r="Q42" s="90"/>
      <c r="R42" s="25">
        <f>(100-Q42)/100*(N42/12*O42)</f>
        <v>0</v>
      </c>
      <c r="AF42" s="379" t="s">
        <v>250</v>
      </c>
      <c r="AG42" s="380">
        <v>1</v>
      </c>
      <c r="AH42" s="156" t="s">
        <v>246</v>
      </c>
    </row>
    <row r="43" spans="1:34" x14ac:dyDescent="0.2">
      <c r="A43" s="354"/>
      <c r="B43" s="352" t="s">
        <v>145</v>
      </c>
      <c r="C43" s="352">
        <f t="shared" si="3"/>
        <v>0</v>
      </c>
      <c r="D43" s="65">
        <f t="shared" si="3"/>
        <v>0</v>
      </c>
      <c r="E43" s="65">
        <f>$E$8</f>
        <v>0</v>
      </c>
      <c r="F43" s="90"/>
      <c r="G43" s="90"/>
      <c r="H43" s="25">
        <f>(100-G43)/100*((D43-D42)/12*E43)</f>
        <v>0</v>
      </c>
      <c r="K43" s="354"/>
      <c r="L43" s="352" t="s">
        <v>145</v>
      </c>
      <c r="M43" s="352">
        <f>+M36</f>
        <v>0</v>
      </c>
      <c r="N43" s="65">
        <f>+D50</f>
        <v>0</v>
      </c>
      <c r="O43" s="65">
        <f>$E$8</f>
        <v>0</v>
      </c>
      <c r="P43" s="90"/>
      <c r="Q43" s="90"/>
      <c r="R43" s="25">
        <f>(100-Q43)/100*((N43-N42)/12*O43)</f>
        <v>0</v>
      </c>
      <c r="AF43" s="379" t="s">
        <v>251</v>
      </c>
      <c r="AG43" s="380">
        <v>2</v>
      </c>
      <c r="AH43" s="156" t="s">
        <v>246</v>
      </c>
    </row>
    <row r="44" spans="1:34" x14ac:dyDescent="0.2">
      <c r="A44" s="355"/>
      <c r="B44" s="352" t="s">
        <v>242</v>
      </c>
      <c r="C44" s="352">
        <f t="shared" si="3"/>
        <v>0</v>
      </c>
      <c r="D44" s="65">
        <f t="shared" si="3"/>
        <v>0</v>
      </c>
      <c r="E44" s="65">
        <f>$E$9</f>
        <v>0</v>
      </c>
      <c r="F44" s="89"/>
      <c r="G44" s="89"/>
      <c r="H44" s="25">
        <f>(100-G44)/100*((D44-D43)/12*E44)</f>
        <v>0</v>
      </c>
      <c r="K44" s="355"/>
      <c r="L44" s="352" t="s">
        <v>243</v>
      </c>
      <c r="M44" s="352">
        <f>+M37</f>
        <v>0</v>
      </c>
      <c r="N44" s="65">
        <f>+D51</f>
        <v>0</v>
      </c>
      <c r="O44" s="65">
        <f>$E$9</f>
        <v>0</v>
      </c>
      <c r="P44" s="89"/>
      <c r="Q44" s="89"/>
      <c r="R44" s="25">
        <f>(100-Q44)/100*((N44-N43)/12*O44)</f>
        <v>0</v>
      </c>
      <c r="AF44" s="379" t="s">
        <v>92</v>
      </c>
      <c r="AG44" s="380">
        <v>1.8</v>
      </c>
      <c r="AH44" s="156" t="s">
        <v>249</v>
      </c>
    </row>
    <row r="45" spans="1:34" x14ac:dyDescent="0.2">
      <c r="A45" s="354"/>
      <c r="B45" s="352"/>
      <c r="C45" s="352"/>
      <c r="D45" s="65"/>
      <c r="E45" s="65"/>
      <c r="F45" s="65"/>
      <c r="G45" s="65"/>
      <c r="H45" s="25"/>
      <c r="K45" s="354"/>
      <c r="L45" s="352"/>
      <c r="M45" s="352"/>
      <c r="N45" s="65"/>
      <c r="O45" s="65"/>
      <c r="P45" s="65"/>
      <c r="Q45" s="65"/>
      <c r="R45" s="25"/>
      <c r="AF45" s="379" t="s">
        <v>88</v>
      </c>
      <c r="AG45" s="380">
        <v>1.45</v>
      </c>
      <c r="AH45" s="156" t="s">
        <v>249</v>
      </c>
    </row>
    <row r="46" spans="1:34" x14ac:dyDescent="0.2">
      <c r="A46" s="360"/>
      <c r="B46" s="362"/>
      <c r="C46" s="362"/>
      <c r="D46" s="362"/>
      <c r="E46" s="362"/>
      <c r="F46" s="362"/>
      <c r="G46" s="363" t="s">
        <v>244</v>
      </c>
      <c r="H46" s="26">
        <f>SUM(H42:H45)</f>
        <v>0</v>
      </c>
      <c r="K46" s="360"/>
      <c r="L46" s="362"/>
      <c r="M46" s="362"/>
      <c r="N46" s="362"/>
      <c r="O46" s="362"/>
      <c r="P46" s="362"/>
      <c r="Q46" s="363" t="s">
        <v>244</v>
      </c>
      <c r="R46" s="26">
        <f>SUM(R42:R45)</f>
        <v>0</v>
      </c>
      <c r="AF46" s="379" t="s">
        <v>91</v>
      </c>
      <c r="AG46" s="380">
        <v>2.4</v>
      </c>
      <c r="AH46" s="156" t="s">
        <v>249</v>
      </c>
    </row>
    <row r="47" spans="1:34" x14ac:dyDescent="0.2">
      <c r="AF47" s="379" t="s">
        <v>143</v>
      </c>
      <c r="AG47" s="380">
        <v>1.9</v>
      </c>
      <c r="AH47" s="156" t="s">
        <v>249</v>
      </c>
    </row>
    <row r="48" spans="1:34" x14ac:dyDescent="0.2">
      <c r="AF48" s="379" t="s">
        <v>94</v>
      </c>
      <c r="AG48" s="380">
        <v>2.4</v>
      </c>
      <c r="AH48" s="156" t="s">
        <v>249</v>
      </c>
    </row>
  </sheetData>
  <sheetProtection sheet="1" selectLockedCells="1"/>
  <sortState ref="AF22:AH34">
    <sortCondition ref="AF6"/>
  </sortState>
  <mergeCells count="3">
    <mergeCell ref="T20:Z20"/>
    <mergeCell ref="AF6:AG6"/>
    <mergeCell ref="D2:F2"/>
  </mergeCells>
  <dataValidations count="1">
    <dataValidation type="list" allowBlank="1" showInputMessage="1" showErrorMessage="1" sqref="C7:C9" xr:uid="{00000000-0002-0000-0300-000000000000}">
      <formula1>$AF$35:$AF$48</formula1>
    </dataValidation>
  </dataValidations>
  <pageMargins left="0.7" right="0.7" top="0.75" bottom="0.75" header="0.3" footer="0.3"/>
  <pageSetup scale="58" orientation="landscape" r:id="rId1"/>
  <headerFooter alignWithMargins="0">
    <oddFooter>&amp;L&amp;"-,Regular"&amp;8Ver. 1.0
&amp;F
&amp;Z&amp;F&amp;C&amp;"-,Regular"North Dakota NRCS IWM Certification Form   
Tensiometer Moisture Sensor Data&amp;"Arial,Regular"
&amp;R&amp;"-,Regular"&amp;8&amp;D
&amp;T</oddFooter>
  </headerFooter>
  <rowBreaks count="1" manualBreakCount="1">
    <brk id="21" max="17" man="1"/>
  </rowBreaks>
  <colBreaks count="1" manualBreakCount="1">
    <brk id="9" min="4" max="45" man="1"/>
  </colBreaks>
  <ignoredErrors>
    <ignoredError sqref="H22:H23 H12:H13 H16 H19 H26:H27 H33:H34 H40:H41 H43:H44 H36:H37 H29:H30 H4:H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6F552C1E-B4C5-46F6-9CF0-17DBD0C23C3D}">
            <xm:f>IF(ISNUMBER(MATCH(C9,'General Information'!C17,0)=TRUE),"","Are You Sure? - Sensor Depth does not match crop rooting depth entered on General Information tab!")</xm:f>
            <x14:dxf>
              <fill>
                <patternFill>
                  <bgColor rgb="FFFF0000"/>
                </patternFill>
              </fill>
            </x14:dxf>
          </x14:cfRule>
          <xm:sqref>C9</xm:sqref>
        </x14:conditionalFormatting>
      </x14:conditionalFormattings>
    </ext>
    <ext xmlns:x14="http://schemas.microsoft.com/office/spreadsheetml/2009/9/main" uri="{CCE6A557-97BC-4b89-ADB6-D9C93CAAB3DF}">
      <x14:dataValidations xmlns:xm="http://schemas.microsoft.com/office/excel/2006/main" count="1">
        <x14:dataValidation type="custom" errorStyle="warning" allowBlank="1" showInputMessage="1" showErrorMessage="1" errorTitle="Are You Sure?" error="Sensor Depth entered does not match the 'Recommended Root Mgmt. Depth' entered in the General information Tab." xr:uid="{00000000-0002-0000-0300-000001000000}">
          <x14:formula1>
            <xm:f>MATCH(D9,'General Information'!C17,0)</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U43"/>
  <sheetViews>
    <sheetView showGridLines="0" showRowColHeaders="0" zoomScaleNormal="100" workbookViewId="0">
      <selection activeCell="D2" sqref="D2"/>
    </sheetView>
  </sheetViews>
  <sheetFormatPr defaultRowHeight="12.75" x14ac:dyDescent="0.2"/>
  <cols>
    <col min="2" max="2" width="57.7109375" customWidth="1"/>
    <col min="3" max="3" width="3" customWidth="1"/>
    <col min="4" max="4" width="15.5703125" bestFit="1" customWidth="1"/>
    <col min="5" max="5" width="10.140625" customWidth="1"/>
    <col min="6" max="6" width="20.42578125" customWidth="1"/>
    <col min="7" max="8" width="13.85546875" customWidth="1"/>
    <col min="9" max="10" width="0" hidden="1" customWidth="1"/>
    <col min="11" max="11" width="15.42578125" hidden="1" customWidth="1"/>
    <col min="12" max="13" width="0" hidden="1" customWidth="1"/>
    <col min="14" max="14" width="11.140625" hidden="1" customWidth="1"/>
    <col min="16" max="16" width="11.140625" customWidth="1"/>
    <col min="17" max="17" width="11" bestFit="1" customWidth="1"/>
  </cols>
  <sheetData>
    <row r="1" spans="1:21" x14ac:dyDescent="0.2">
      <c r="D1" s="134" t="s">
        <v>290</v>
      </c>
      <c r="E1" s="3"/>
      <c r="F1" s="3"/>
      <c r="G1" s="3"/>
      <c r="H1" s="3"/>
      <c r="I1" s="3"/>
      <c r="J1" s="3"/>
      <c r="K1" s="3"/>
      <c r="L1" s="3"/>
      <c r="M1" s="3"/>
      <c r="N1" s="3"/>
      <c r="O1" s="3"/>
      <c r="P1" s="3"/>
      <c r="Q1" s="3"/>
      <c r="R1" s="3"/>
      <c r="S1" s="3"/>
      <c r="T1" s="3"/>
      <c r="U1" s="3"/>
    </row>
    <row r="2" spans="1:21" x14ac:dyDescent="0.2">
      <c r="D2" s="145"/>
      <c r="E2" s="144" t="s">
        <v>289</v>
      </c>
      <c r="F2" s="145"/>
      <c r="G2" s="145"/>
      <c r="H2" s="145"/>
      <c r="I2" s="3"/>
      <c r="J2" s="3"/>
      <c r="K2" s="3"/>
      <c r="L2" s="3"/>
      <c r="M2" s="3"/>
      <c r="N2" s="3"/>
      <c r="O2" s="3"/>
      <c r="P2" s="3"/>
      <c r="Q2" s="3"/>
      <c r="R2" s="3"/>
      <c r="S2" s="3"/>
      <c r="T2" s="3"/>
      <c r="U2" s="3"/>
    </row>
    <row r="3" spans="1:21" ht="15.75" x14ac:dyDescent="0.25">
      <c r="E3" s="12"/>
      <c r="F3" s="3"/>
      <c r="G3" s="3"/>
      <c r="H3" s="3"/>
      <c r="I3" s="3"/>
      <c r="J3" s="3"/>
      <c r="K3" s="12"/>
      <c r="L3" s="10"/>
      <c r="M3" s="3"/>
      <c r="N3" s="3"/>
      <c r="O3" s="1"/>
      <c r="P3" s="3"/>
      <c r="Q3" s="3"/>
      <c r="R3" s="3"/>
      <c r="S3" s="3"/>
      <c r="T3" s="3"/>
      <c r="U3" s="3"/>
    </row>
    <row r="4" spans="1:21" x14ac:dyDescent="0.2">
      <c r="E4" s="3"/>
      <c r="F4" s="3"/>
      <c r="G4" s="3"/>
      <c r="H4" s="3"/>
      <c r="I4" s="3"/>
      <c r="J4" s="3"/>
      <c r="K4" s="3"/>
      <c r="L4" s="6"/>
      <c r="M4" s="3"/>
      <c r="N4" s="3"/>
      <c r="O4" s="9"/>
      <c r="P4" s="3"/>
      <c r="Q4" s="3"/>
      <c r="R4" s="3"/>
      <c r="S4" s="3"/>
      <c r="T4" s="3"/>
      <c r="U4" s="3"/>
    </row>
    <row r="5" spans="1:21" x14ac:dyDescent="0.2">
      <c r="A5" s="4"/>
      <c r="E5" s="3"/>
      <c r="F5" s="3"/>
      <c r="G5" s="3"/>
      <c r="H5" s="3"/>
      <c r="I5" s="3"/>
      <c r="J5" s="3"/>
      <c r="K5" s="3"/>
      <c r="L5" s="6"/>
      <c r="M5" s="3"/>
      <c r="N5" s="3"/>
      <c r="O5" s="15"/>
      <c r="P5" s="15"/>
      <c r="Q5" s="15"/>
      <c r="R5" s="3"/>
      <c r="S5" s="3"/>
      <c r="T5" s="3"/>
      <c r="U5" s="3"/>
    </row>
    <row r="6" spans="1:21" x14ac:dyDescent="0.2">
      <c r="B6" s="4"/>
      <c r="H6" s="3"/>
      <c r="I6" s="136"/>
      <c r="J6" s="136"/>
      <c r="K6" s="136"/>
      <c r="L6" s="137"/>
      <c r="M6" s="136"/>
      <c r="N6" s="3"/>
      <c r="O6" s="3"/>
      <c r="P6" s="3"/>
      <c r="Q6" s="3"/>
      <c r="R6" s="3"/>
      <c r="S6" s="3"/>
      <c r="T6" s="3"/>
      <c r="U6" s="3"/>
    </row>
    <row r="7" spans="1:21" x14ac:dyDescent="0.2">
      <c r="B7" s="4"/>
      <c r="E7" s="11"/>
      <c r="F7" s="3"/>
      <c r="G7" s="3"/>
      <c r="H7" s="3"/>
      <c r="I7" s="138" t="s">
        <v>96</v>
      </c>
      <c r="J7" s="139" t="s">
        <v>100</v>
      </c>
      <c r="K7" s="139" t="s">
        <v>102</v>
      </c>
      <c r="L7" s="137"/>
      <c r="M7" s="136"/>
      <c r="N7" s="3"/>
      <c r="O7" s="3"/>
      <c r="P7" s="3"/>
      <c r="Q7" s="3"/>
      <c r="R7" s="3"/>
      <c r="S7" s="3"/>
      <c r="T7" s="3"/>
      <c r="U7" s="3"/>
    </row>
    <row r="8" spans="1:21" x14ac:dyDescent="0.2">
      <c r="B8" s="135"/>
      <c r="E8" s="17"/>
      <c r="F8" s="7"/>
      <c r="G8" s="17"/>
      <c r="H8" s="3"/>
      <c r="I8" s="136" t="s">
        <v>97</v>
      </c>
      <c r="J8" s="136" t="s">
        <v>101</v>
      </c>
      <c r="K8" s="137">
        <v>1.45</v>
      </c>
      <c r="L8" s="137"/>
      <c r="M8" s="136"/>
      <c r="N8" s="3"/>
      <c r="O8" s="3"/>
      <c r="P8" s="3"/>
      <c r="Q8" s="3"/>
      <c r="R8" s="3"/>
      <c r="S8" s="3"/>
      <c r="T8" s="3"/>
      <c r="U8" s="3"/>
    </row>
    <row r="9" spans="1:21" ht="14.25" x14ac:dyDescent="0.2">
      <c r="B9" s="4"/>
      <c r="E9" s="18"/>
      <c r="F9" s="8"/>
      <c r="G9" s="18"/>
      <c r="H9" s="3"/>
      <c r="I9" s="136" t="s">
        <v>98</v>
      </c>
      <c r="J9" s="136" t="s">
        <v>92</v>
      </c>
      <c r="K9" s="137">
        <v>1.8</v>
      </c>
      <c r="L9" s="137"/>
      <c r="M9" s="136"/>
      <c r="N9" s="13"/>
      <c r="O9" s="3"/>
      <c r="P9" s="3"/>
      <c r="Q9" s="3"/>
      <c r="R9" s="3"/>
      <c r="S9" s="3"/>
      <c r="T9" s="3"/>
      <c r="U9" s="3"/>
    </row>
    <row r="10" spans="1:21" x14ac:dyDescent="0.2">
      <c r="F10" s="8"/>
      <c r="G10" s="18"/>
      <c r="H10" s="3"/>
      <c r="I10" s="136" t="s">
        <v>99</v>
      </c>
      <c r="J10" s="136" t="s">
        <v>91</v>
      </c>
      <c r="K10" s="137">
        <v>2.4</v>
      </c>
      <c r="L10" s="137"/>
      <c r="M10" s="136"/>
      <c r="N10" s="3"/>
      <c r="O10" s="16"/>
      <c r="P10" s="16"/>
      <c r="Q10" s="16"/>
      <c r="R10" s="3"/>
      <c r="S10" s="3"/>
      <c r="T10" s="3"/>
      <c r="U10" s="3"/>
    </row>
    <row r="11" spans="1:21" x14ac:dyDescent="0.2">
      <c r="F11" s="22"/>
      <c r="G11" s="18"/>
      <c r="H11" s="3"/>
      <c r="I11" s="136"/>
      <c r="J11" s="136"/>
      <c r="K11" s="136"/>
      <c r="L11" s="137"/>
      <c r="M11" s="136"/>
      <c r="N11" s="3"/>
      <c r="O11" s="5"/>
      <c r="P11" s="5"/>
      <c r="Q11" s="5"/>
      <c r="R11" s="3"/>
      <c r="S11" s="3"/>
      <c r="T11" s="3"/>
      <c r="U11" s="3"/>
    </row>
    <row r="12" spans="1:21" x14ac:dyDescent="0.2">
      <c r="F12" s="22"/>
      <c r="G12" s="19"/>
      <c r="H12" s="3"/>
      <c r="I12" s="136"/>
      <c r="J12" s="136"/>
      <c r="K12" s="136"/>
      <c r="L12" s="137"/>
      <c r="M12" s="136"/>
      <c r="N12" s="3"/>
      <c r="O12" s="5"/>
      <c r="P12" s="5"/>
      <c r="Q12" s="5"/>
      <c r="R12" s="3"/>
      <c r="S12" s="3"/>
      <c r="T12" s="3"/>
      <c r="U12" s="3"/>
    </row>
    <row r="13" spans="1:21" ht="51" x14ac:dyDescent="0.2">
      <c r="F13" s="22"/>
      <c r="G13" s="19"/>
      <c r="H13" s="3"/>
      <c r="I13" s="138" t="s">
        <v>291</v>
      </c>
      <c r="J13" s="140" t="s">
        <v>103</v>
      </c>
      <c r="K13" s="141" t="s">
        <v>295</v>
      </c>
      <c r="L13" s="137"/>
      <c r="M13" s="136"/>
      <c r="N13" s="3"/>
      <c r="O13" s="5"/>
      <c r="P13" s="5"/>
      <c r="Q13" s="5"/>
      <c r="R13" s="3"/>
      <c r="S13" s="3"/>
      <c r="T13" s="3"/>
      <c r="U13" s="3"/>
    </row>
    <row r="14" spans="1:21" x14ac:dyDescent="0.2">
      <c r="E14" s="19"/>
      <c r="F14" s="22"/>
      <c r="G14" s="19"/>
      <c r="H14" s="3"/>
      <c r="I14" s="136" t="s">
        <v>97</v>
      </c>
      <c r="J14" s="136" t="s">
        <v>104</v>
      </c>
      <c r="K14" s="66" t="s">
        <v>294</v>
      </c>
      <c r="L14" s="137"/>
      <c r="M14" s="136"/>
      <c r="N14" s="3"/>
      <c r="O14" s="5"/>
      <c r="P14" s="5"/>
      <c r="Q14" s="14"/>
      <c r="R14" s="3"/>
      <c r="S14" s="3"/>
      <c r="T14" s="3"/>
      <c r="U14" s="3"/>
    </row>
    <row r="15" spans="1:21" x14ac:dyDescent="0.2">
      <c r="E15" s="18"/>
      <c r="F15" s="22"/>
      <c r="G15" s="19"/>
      <c r="H15" s="3"/>
      <c r="I15" s="136" t="s">
        <v>98</v>
      </c>
      <c r="J15" s="136" t="s">
        <v>105</v>
      </c>
      <c r="K15" s="66" t="s">
        <v>293</v>
      </c>
      <c r="L15" s="137"/>
      <c r="M15" s="136"/>
      <c r="N15" s="3"/>
      <c r="O15" s="5"/>
      <c r="P15" s="5"/>
      <c r="Q15" s="14"/>
      <c r="R15" s="3"/>
      <c r="S15" s="3"/>
      <c r="T15" s="3"/>
      <c r="U15" s="3"/>
    </row>
    <row r="16" spans="1:21" x14ac:dyDescent="0.2">
      <c r="E16" s="19"/>
      <c r="F16" s="22"/>
      <c r="G16" s="19"/>
      <c r="H16" s="3"/>
      <c r="I16" s="136" t="s">
        <v>99</v>
      </c>
      <c r="J16" s="136" t="s">
        <v>106</v>
      </c>
      <c r="K16" s="66" t="s">
        <v>292</v>
      </c>
      <c r="L16" s="137"/>
      <c r="M16" s="136"/>
      <c r="N16" s="3"/>
      <c r="O16" s="5"/>
      <c r="P16" s="5"/>
      <c r="Q16" s="5"/>
      <c r="R16" s="3"/>
      <c r="S16" s="3"/>
      <c r="T16" s="3"/>
      <c r="U16" s="3"/>
    </row>
    <row r="17" spans="5:21" x14ac:dyDescent="0.2">
      <c r="E17" s="19"/>
      <c r="F17" s="22"/>
      <c r="G17" s="19"/>
      <c r="H17" s="3"/>
      <c r="I17" s="136"/>
      <c r="J17" s="136"/>
      <c r="K17" s="136"/>
      <c r="L17" s="137"/>
      <c r="M17" s="136"/>
      <c r="N17" s="3"/>
      <c r="O17" s="5"/>
      <c r="P17" s="5"/>
      <c r="Q17" s="5"/>
      <c r="R17" s="3"/>
      <c r="S17" s="3"/>
      <c r="T17" s="3"/>
      <c r="U17" s="3"/>
    </row>
    <row r="18" spans="5:21" x14ac:dyDescent="0.2">
      <c r="E18" s="19"/>
      <c r="F18" s="22"/>
      <c r="G18" s="19"/>
      <c r="H18" s="3"/>
      <c r="I18" s="64" t="s">
        <v>107</v>
      </c>
      <c r="J18" s="64" t="s">
        <v>108</v>
      </c>
      <c r="K18" s="136"/>
      <c r="L18" s="137"/>
      <c r="M18" s="136"/>
      <c r="N18" s="3"/>
      <c r="O18" s="5"/>
      <c r="P18" s="5"/>
      <c r="Q18" s="5"/>
      <c r="R18" s="3"/>
      <c r="S18" s="3"/>
      <c r="T18" s="3"/>
      <c r="U18" s="3"/>
    </row>
    <row r="19" spans="5:21" x14ac:dyDescent="0.2">
      <c r="E19" s="18"/>
      <c r="F19" s="22"/>
      <c r="G19" s="19"/>
      <c r="H19" s="3"/>
      <c r="I19" s="136"/>
      <c r="J19" s="136"/>
      <c r="K19" s="136"/>
      <c r="L19" s="137"/>
      <c r="M19" s="136"/>
      <c r="N19" s="3"/>
      <c r="O19" s="5"/>
      <c r="P19" s="5"/>
      <c r="Q19" s="5"/>
      <c r="R19" s="3"/>
      <c r="S19" s="3"/>
      <c r="T19" s="3"/>
      <c r="U19" s="3"/>
    </row>
    <row r="20" spans="5:21" x14ac:dyDescent="0.2">
      <c r="E20" s="3"/>
      <c r="F20" s="3"/>
      <c r="G20" s="3"/>
      <c r="H20" s="3"/>
      <c r="I20" s="142" t="s">
        <v>151</v>
      </c>
      <c r="J20" s="136"/>
      <c r="K20" s="136"/>
      <c r="L20" s="137"/>
      <c r="M20" s="136"/>
      <c r="N20" s="3"/>
      <c r="O20" s="5"/>
      <c r="P20" s="5"/>
      <c r="Q20" s="5"/>
      <c r="R20" s="3"/>
      <c r="S20" s="3"/>
      <c r="T20" s="3"/>
      <c r="U20" s="3"/>
    </row>
    <row r="21" spans="5:21" x14ac:dyDescent="0.2">
      <c r="E21" s="3"/>
      <c r="F21" s="3"/>
      <c r="G21" s="3"/>
      <c r="H21" s="3"/>
      <c r="I21" s="136"/>
      <c r="J21" s="136"/>
      <c r="K21" s="136"/>
      <c r="L21" s="137"/>
      <c r="M21" s="136"/>
      <c r="N21" s="3"/>
      <c r="O21" s="5"/>
      <c r="P21" s="5"/>
      <c r="Q21" s="14"/>
      <c r="R21" s="3"/>
      <c r="S21" s="3"/>
      <c r="T21" s="3"/>
      <c r="U21" s="3"/>
    </row>
    <row r="22" spans="5:21" x14ac:dyDescent="0.2">
      <c r="E22" s="8"/>
      <c r="F22" s="3"/>
      <c r="G22" s="3"/>
      <c r="H22" s="3"/>
      <c r="I22" s="136"/>
      <c r="J22" s="136"/>
      <c r="K22" s="136"/>
      <c r="L22" s="137"/>
      <c r="M22" s="136"/>
      <c r="N22" s="3"/>
      <c r="O22" s="5"/>
      <c r="P22" s="5"/>
      <c r="Q22" s="14"/>
      <c r="R22" s="3"/>
      <c r="S22" s="3"/>
      <c r="T22" s="3"/>
      <c r="U22" s="3"/>
    </row>
    <row r="23" spans="5:21" x14ac:dyDescent="0.2">
      <c r="E23" s="8"/>
      <c r="F23" s="3"/>
      <c r="G23" s="3"/>
      <c r="H23" s="3"/>
      <c r="I23" s="3"/>
      <c r="J23" s="3"/>
      <c r="K23" s="3"/>
      <c r="L23" s="6"/>
      <c r="M23" s="3"/>
      <c r="N23" s="3"/>
      <c r="O23" s="5"/>
      <c r="P23" s="5"/>
      <c r="Q23" s="14"/>
      <c r="R23" s="3"/>
      <c r="S23" s="3"/>
      <c r="T23" s="3"/>
      <c r="U23" s="3"/>
    </row>
    <row r="24" spans="5:21" x14ac:dyDescent="0.2">
      <c r="E24" s="3"/>
      <c r="F24" s="3"/>
      <c r="G24" s="3"/>
      <c r="H24" s="3"/>
      <c r="I24" s="3"/>
      <c r="J24" s="3"/>
      <c r="K24" s="2"/>
      <c r="L24" s="6"/>
      <c r="M24" s="3"/>
      <c r="N24" s="3"/>
      <c r="O24" s="3"/>
      <c r="P24" s="3"/>
      <c r="Q24" s="3"/>
      <c r="R24" s="3"/>
      <c r="S24" s="3"/>
      <c r="T24" s="3"/>
      <c r="U24" s="3"/>
    </row>
    <row r="25" spans="5:21" x14ac:dyDescent="0.2">
      <c r="E25" s="22"/>
      <c r="F25" s="3"/>
      <c r="G25" s="3"/>
      <c r="H25" s="3"/>
      <c r="I25" s="3"/>
      <c r="J25" s="3"/>
      <c r="K25" s="3"/>
      <c r="L25" s="3"/>
      <c r="M25" s="3"/>
      <c r="N25" s="3"/>
      <c r="O25" s="3"/>
      <c r="P25" s="3"/>
      <c r="Q25" s="3"/>
      <c r="R25" s="3"/>
      <c r="S25" s="3"/>
      <c r="T25" s="3"/>
      <c r="U25" s="3"/>
    </row>
    <row r="26" spans="5:21" x14ac:dyDescent="0.2">
      <c r="E26" s="3"/>
      <c r="F26" s="3"/>
      <c r="G26" s="3"/>
      <c r="H26" s="3"/>
      <c r="I26" s="3"/>
      <c r="J26" s="3"/>
      <c r="K26" s="3"/>
      <c r="L26" s="3"/>
      <c r="M26" s="3"/>
      <c r="N26" s="3"/>
      <c r="O26" s="3"/>
      <c r="P26" s="3"/>
      <c r="Q26" s="3"/>
      <c r="R26" s="3"/>
      <c r="S26" s="3"/>
      <c r="T26" s="3"/>
      <c r="U26" s="3"/>
    </row>
    <row r="27" spans="5:21" x14ac:dyDescent="0.2">
      <c r="H27" s="3"/>
      <c r="I27" s="3"/>
      <c r="J27" s="3"/>
      <c r="K27" s="3"/>
      <c r="L27" s="3"/>
      <c r="M27" s="3"/>
      <c r="N27" s="3"/>
      <c r="O27" s="3"/>
      <c r="P27" s="3"/>
      <c r="Q27" s="3"/>
      <c r="R27" s="3"/>
      <c r="S27" s="3"/>
      <c r="T27" s="3"/>
      <c r="U27" s="3"/>
    </row>
    <row r="28" spans="5:21" x14ac:dyDescent="0.2">
      <c r="H28" s="3"/>
      <c r="I28" s="3"/>
      <c r="J28" s="3"/>
      <c r="K28" s="3"/>
      <c r="L28" s="3"/>
      <c r="M28" s="3"/>
      <c r="N28" s="3"/>
      <c r="O28" s="3"/>
      <c r="P28" s="3"/>
      <c r="Q28" s="3"/>
      <c r="R28" s="3"/>
      <c r="S28" s="3"/>
      <c r="T28" s="3"/>
      <c r="U28" s="3"/>
    </row>
    <row r="29" spans="5:21" x14ac:dyDescent="0.2">
      <c r="H29" s="3"/>
      <c r="I29" s="3"/>
      <c r="J29" s="3"/>
      <c r="K29" s="3"/>
      <c r="L29" s="3"/>
      <c r="M29" s="3"/>
      <c r="N29" s="3"/>
      <c r="O29" s="3"/>
      <c r="P29" s="3"/>
      <c r="Q29" s="3"/>
      <c r="R29" s="3"/>
      <c r="S29" s="3"/>
      <c r="T29" s="3"/>
      <c r="U29" s="3"/>
    </row>
    <row r="30" spans="5:21" x14ac:dyDescent="0.2">
      <c r="H30" s="3"/>
      <c r="I30" s="3"/>
      <c r="J30" s="3"/>
      <c r="K30" s="3"/>
      <c r="L30" s="3"/>
      <c r="M30" s="3"/>
      <c r="N30" s="3"/>
      <c r="O30" s="3"/>
      <c r="P30" s="3"/>
      <c r="Q30" s="3"/>
      <c r="R30" s="3"/>
      <c r="S30" s="3"/>
      <c r="T30" s="3"/>
      <c r="U30" s="3"/>
    </row>
    <row r="31" spans="5:21" x14ac:dyDescent="0.2">
      <c r="E31" s="3"/>
      <c r="F31" s="3"/>
      <c r="G31" s="3"/>
      <c r="H31" s="3"/>
      <c r="I31" s="3"/>
      <c r="J31" s="3"/>
      <c r="K31" s="3"/>
      <c r="L31" s="3"/>
      <c r="O31" s="3"/>
      <c r="P31" s="3"/>
      <c r="Q31" s="3"/>
      <c r="R31" s="3"/>
      <c r="S31" s="3"/>
      <c r="T31" s="3"/>
      <c r="U31" s="3"/>
    </row>
    <row r="32" spans="5:21" x14ac:dyDescent="0.2">
      <c r="I32" s="3"/>
      <c r="J32" s="3"/>
      <c r="K32" s="3"/>
      <c r="L32" s="3"/>
      <c r="O32" s="3"/>
      <c r="P32" s="3"/>
      <c r="Q32" s="3"/>
      <c r="R32" s="3"/>
      <c r="S32" s="3"/>
      <c r="T32" s="3"/>
      <c r="U32" s="3"/>
    </row>
    <row r="33" spans="7:21" x14ac:dyDescent="0.2">
      <c r="I33" s="3"/>
      <c r="J33" s="3"/>
      <c r="K33" s="3"/>
      <c r="L33" s="3"/>
      <c r="M33" s="3"/>
      <c r="N33" s="3"/>
      <c r="O33" s="3"/>
      <c r="P33" s="3"/>
      <c r="Q33" s="3"/>
      <c r="R33" s="3"/>
      <c r="S33" s="3"/>
      <c r="T33" s="3"/>
      <c r="U33" s="3"/>
    </row>
    <row r="34" spans="7:21" x14ac:dyDescent="0.2">
      <c r="I34" s="3"/>
      <c r="J34" s="3"/>
      <c r="K34" s="3"/>
      <c r="L34" s="3"/>
      <c r="M34" s="3"/>
      <c r="N34" s="3"/>
      <c r="O34" s="3"/>
      <c r="P34" s="3"/>
      <c r="Q34" s="3"/>
      <c r="R34" s="3"/>
      <c r="S34" s="3"/>
      <c r="T34" s="3"/>
      <c r="U34" s="3"/>
    </row>
    <row r="35" spans="7:21" x14ac:dyDescent="0.2">
      <c r="I35" s="3"/>
      <c r="J35" s="3"/>
      <c r="K35" s="3"/>
      <c r="L35" s="3"/>
      <c r="M35" s="3"/>
      <c r="N35" s="3"/>
      <c r="O35" s="3"/>
      <c r="P35" s="3"/>
      <c r="Q35" s="3"/>
      <c r="R35" s="3"/>
      <c r="S35" s="3"/>
      <c r="T35" s="3"/>
      <c r="U35" s="3"/>
    </row>
    <row r="40" spans="7:21" x14ac:dyDescent="0.2">
      <c r="I40" s="20"/>
    </row>
    <row r="43" spans="7:21" ht="20.25" x14ac:dyDescent="0.3">
      <c r="G43" s="28"/>
    </row>
  </sheetData>
  <sheetProtection sheet="1" objects="1" scenarios="1" selectLockedCells="1"/>
  <phoneticPr fontId="2" type="noConversion"/>
  <hyperlinks>
    <hyperlink ref="E2" r:id="rId1" xr:uid="{00000000-0004-0000-0400-000000000000}"/>
  </hyperlinks>
  <pageMargins left="0.75" right="0.75" top="1" bottom="1" header="0.5" footer="0.5"/>
  <pageSetup orientation="portrait" r:id="rId2"/>
  <headerFooter alignWithMargins="0">
    <oddFooter>&amp;L&amp;"-,Regular"&amp;6Ver. 1.0
&amp;F
&amp;Z&amp;F&amp;C&amp;"-,Regular"&amp;8North Dakota NRCS IWM Certification Form
Feel and Appearance Example
&amp;R&amp;"-,Regular"&amp;8&amp;D
&amp;T</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8" tint="0.59999389629810485"/>
  </sheetPr>
  <dimension ref="A1:M237"/>
  <sheetViews>
    <sheetView showGridLines="0" topLeftCell="B1" zoomScaleNormal="100" workbookViewId="0">
      <selection activeCell="B1" sqref="B1"/>
    </sheetView>
  </sheetViews>
  <sheetFormatPr defaultColWidth="8.85546875" defaultRowHeight="12.75" x14ac:dyDescent="0.2"/>
  <cols>
    <col min="1" max="1" width="10.140625" style="514" hidden="1" customWidth="1"/>
    <col min="2" max="2" width="19.5703125" style="513" customWidth="1"/>
    <col min="3" max="12" width="8.85546875" style="513"/>
    <col min="13" max="13" width="10.140625" style="513" bestFit="1" customWidth="1"/>
    <col min="14" max="16384" width="8.85546875" style="513"/>
  </cols>
  <sheetData>
    <row r="1" spans="1:13" ht="63.75" x14ac:dyDescent="0.2">
      <c r="B1" s="520" t="s">
        <v>299</v>
      </c>
      <c r="C1"/>
      <c r="D1"/>
      <c r="E1"/>
      <c r="F1"/>
      <c r="G1"/>
      <c r="H1"/>
      <c r="I1"/>
      <c r="J1"/>
      <c r="K1"/>
      <c r="L1"/>
    </row>
    <row r="2" spans="1:13" x14ac:dyDescent="0.2">
      <c r="B2"/>
      <c r="C2"/>
      <c r="D2"/>
      <c r="E2"/>
      <c r="F2"/>
      <c r="G2"/>
      <c r="H2"/>
      <c r="I2"/>
      <c r="J2"/>
      <c r="K2"/>
      <c r="L2"/>
    </row>
    <row r="3" spans="1:13" x14ac:dyDescent="0.2">
      <c r="B3"/>
      <c r="C3"/>
      <c r="D3"/>
      <c r="E3"/>
      <c r="F3"/>
      <c r="G3"/>
      <c r="H3"/>
      <c r="I3"/>
      <c r="J3"/>
      <c r="K3"/>
      <c r="L3"/>
    </row>
    <row r="4" spans="1:13" x14ac:dyDescent="0.2">
      <c r="B4"/>
      <c r="C4"/>
      <c r="D4"/>
      <c r="E4"/>
      <c r="F4"/>
      <c r="G4"/>
      <c r="H4"/>
      <c r="I4"/>
      <c r="J4"/>
      <c r="K4"/>
      <c r="L4"/>
    </row>
    <row r="5" spans="1:13" x14ac:dyDescent="0.2">
      <c r="B5"/>
      <c r="C5"/>
      <c r="D5"/>
      <c r="E5"/>
      <c r="F5"/>
      <c r="G5"/>
      <c r="H5"/>
      <c r="I5"/>
      <c r="J5"/>
      <c r="K5"/>
      <c r="L5"/>
    </row>
    <row r="6" spans="1:13" x14ac:dyDescent="0.2">
      <c r="A6" s="514" t="e">
        <f t="shared" ref="A6:A69" si="0">DATE(F6,G6,H6)</f>
        <v>#NUM!</v>
      </c>
      <c r="B6"/>
      <c r="C6"/>
      <c r="D6"/>
      <c r="E6"/>
      <c r="F6"/>
      <c r="G6"/>
      <c r="H6"/>
      <c r="I6"/>
      <c r="J6"/>
      <c r="K6"/>
      <c r="L6"/>
      <c r="M6" s="514"/>
    </row>
    <row r="7" spans="1:13" x14ac:dyDescent="0.2">
      <c r="A7" s="514" t="e">
        <f t="shared" si="0"/>
        <v>#NUM!</v>
      </c>
      <c r="B7"/>
      <c r="C7"/>
      <c r="D7"/>
      <c r="E7"/>
      <c r="F7"/>
      <c r="G7"/>
      <c r="H7"/>
      <c r="I7"/>
      <c r="J7"/>
      <c r="K7"/>
      <c r="L7"/>
      <c r="M7" s="514"/>
    </row>
    <row r="8" spans="1:13" x14ac:dyDescent="0.2">
      <c r="A8" s="514" t="e">
        <f t="shared" si="0"/>
        <v>#NUM!</v>
      </c>
      <c r="B8"/>
      <c r="C8"/>
      <c r="D8"/>
      <c r="E8"/>
      <c r="F8"/>
      <c r="G8"/>
      <c r="H8"/>
      <c r="I8"/>
      <c r="J8"/>
      <c r="K8"/>
      <c r="L8"/>
      <c r="M8" s="514"/>
    </row>
    <row r="9" spans="1:13" x14ac:dyDescent="0.2">
      <c r="A9" s="514" t="e">
        <f t="shared" si="0"/>
        <v>#NUM!</v>
      </c>
      <c r="B9"/>
      <c r="C9"/>
      <c r="D9"/>
      <c r="E9"/>
      <c r="F9"/>
      <c r="G9"/>
      <c r="H9"/>
      <c r="I9"/>
      <c r="J9"/>
      <c r="K9"/>
      <c r="L9"/>
      <c r="M9" s="514"/>
    </row>
    <row r="10" spans="1:13" x14ac:dyDescent="0.2">
      <c r="A10" s="514" t="e">
        <f t="shared" si="0"/>
        <v>#NUM!</v>
      </c>
      <c r="B10"/>
      <c r="C10"/>
      <c r="D10"/>
      <c r="E10"/>
      <c r="F10"/>
      <c r="G10"/>
      <c r="H10"/>
      <c r="I10"/>
      <c r="J10"/>
      <c r="K10"/>
      <c r="L10"/>
      <c r="M10" s="514"/>
    </row>
    <row r="11" spans="1:13" x14ac:dyDescent="0.2">
      <c r="A11" s="514" t="e">
        <f t="shared" si="0"/>
        <v>#NUM!</v>
      </c>
      <c r="B11"/>
      <c r="C11"/>
      <c r="D11"/>
      <c r="E11"/>
      <c r="F11"/>
      <c r="G11"/>
      <c r="H11"/>
      <c r="I11"/>
      <c r="J11"/>
      <c r="K11"/>
      <c r="L11"/>
      <c r="M11" s="514"/>
    </row>
    <row r="12" spans="1:13" x14ac:dyDescent="0.2">
      <c r="A12" s="514" t="e">
        <f t="shared" si="0"/>
        <v>#NUM!</v>
      </c>
      <c r="B12"/>
      <c r="C12"/>
      <c r="D12"/>
      <c r="E12"/>
      <c r="F12"/>
      <c r="G12"/>
      <c r="H12"/>
      <c r="I12"/>
      <c r="J12"/>
      <c r="K12"/>
      <c r="L12"/>
      <c r="M12" s="514"/>
    </row>
    <row r="13" spans="1:13" x14ac:dyDescent="0.2">
      <c r="A13" s="514" t="e">
        <f t="shared" si="0"/>
        <v>#NUM!</v>
      </c>
      <c r="B13"/>
      <c r="C13"/>
      <c r="D13"/>
      <c r="E13"/>
      <c r="F13"/>
      <c r="G13"/>
      <c r="H13"/>
      <c r="I13"/>
      <c r="J13"/>
      <c r="K13"/>
      <c r="L13"/>
      <c r="M13" s="514"/>
    </row>
    <row r="14" spans="1:13" x14ac:dyDescent="0.2">
      <c r="A14" s="514" t="e">
        <f t="shared" si="0"/>
        <v>#NUM!</v>
      </c>
      <c r="B14"/>
      <c r="C14"/>
      <c r="D14"/>
      <c r="E14"/>
      <c r="F14"/>
      <c r="G14"/>
      <c r="H14"/>
      <c r="I14"/>
      <c r="J14"/>
      <c r="K14"/>
      <c r="L14"/>
      <c r="M14" s="514"/>
    </row>
    <row r="15" spans="1:13" x14ac:dyDescent="0.2">
      <c r="A15" s="514" t="e">
        <f t="shared" si="0"/>
        <v>#NUM!</v>
      </c>
      <c r="B15"/>
      <c r="C15"/>
      <c r="D15"/>
      <c r="E15"/>
      <c r="F15"/>
      <c r="G15"/>
      <c r="H15"/>
      <c r="I15"/>
      <c r="J15"/>
      <c r="K15"/>
      <c r="L15"/>
      <c r="M15" s="514"/>
    </row>
    <row r="16" spans="1:13" x14ac:dyDescent="0.2">
      <c r="A16" s="514" t="e">
        <f t="shared" si="0"/>
        <v>#NUM!</v>
      </c>
      <c r="B16"/>
      <c r="C16"/>
      <c r="D16"/>
      <c r="E16"/>
      <c r="F16"/>
      <c r="G16"/>
      <c r="H16"/>
      <c r="I16"/>
      <c r="J16"/>
      <c r="K16"/>
      <c r="L16"/>
      <c r="M16" s="514"/>
    </row>
    <row r="17" spans="1:13" x14ac:dyDescent="0.2">
      <c r="A17" s="514" t="e">
        <f t="shared" si="0"/>
        <v>#NUM!</v>
      </c>
      <c r="B17"/>
      <c r="C17"/>
      <c r="D17"/>
      <c r="E17"/>
      <c r="F17"/>
      <c r="G17"/>
      <c r="H17"/>
      <c r="I17"/>
      <c r="J17"/>
      <c r="K17"/>
      <c r="L17"/>
      <c r="M17" s="514"/>
    </row>
    <row r="18" spans="1:13" x14ac:dyDescent="0.2">
      <c r="A18" s="514" t="e">
        <f t="shared" si="0"/>
        <v>#NUM!</v>
      </c>
      <c r="B18"/>
      <c r="C18"/>
      <c r="D18"/>
      <c r="E18"/>
      <c r="F18"/>
      <c r="G18"/>
      <c r="H18"/>
      <c r="I18"/>
      <c r="J18"/>
      <c r="K18"/>
      <c r="L18"/>
      <c r="M18" s="514"/>
    </row>
    <row r="19" spans="1:13" x14ac:dyDescent="0.2">
      <c r="A19" s="514" t="e">
        <f t="shared" si="0"/>
        <v>#NUM!</v>
      </c>
      <c r="B19"/>
      <c r="C19"/>
      <c r="D19"/>
      <c r="E19"/>
      <c r="F19"/>
      <c r="G19"/>
      <c r="H19"/>
      <c r="I19"/>
      <c r="J19"/>
      <c r="K19"/>
      <c r="L19"/>
      <c r="M19" s="514"/>
    </row>
    <row r="20" spans="1:13" x14ac:dyDescent="0.2">
      <c r="A20" s="514" t="e">
        <f t="shared" si="0"/>
        <v>#NUM!</v>
      </c>
      <c r="B20"/>
      <c r="C20"/>
      <c r="D20"/>
      <c r="E20"/>
      <c r="F20"/>
      <c r="G20"/>
      <c r="H20"/>
      <c r="I20"/>
      <c r="J20"/>
      <c r="K20"/>
      <c r="L20"/>
      <c r="M20" s="514"/>
    </row>
    <row r="21" spans="1:13" x14ac:dyDescent="0.2">
      <c r="A21" s="514" t="e">
        <f t="shared" si="0"/>
        <v>#NUM!</v>
      </c>
      <c r="B21"/>
      <c r="C21"/>
      <c r="D21"/>
      <c r="E21"/>
      <c r="F21"/>
      <c r="G21"/>
      <c r="H21"/>
      <c r="I21"/>
      <c r="J21"/>
      <c r="K21"/>
      <c r="L21"/>
      <c r="M21" s="514"/>
    </row>
    <row r="22" spans="1:13" x14ac:dyDescent="0.2">
      <c r="A22" s="514" t="e">
        <f t="shared" si="0"/>
        <v>#NUM!</v>
      </c>
      <c r="B22"/>
      <c r="C22"/>
      <c r="D22"/>
      <c r="E22"/>
      <c r="F22"/>
      <c r="G22"/>
      <c r="H22"/>
      <c r="I22"/>
      <c r="J22"/>
      <c r="K22"/>
      <c r="L22"/>
      <c r="M22" s="514"/>
    </row>
    <row r="23" spans="1:13" x14ac:dyDescent="0.2">
      <c r="A23" s="514" t="e">
        <f t="shared" si="0"/>
        <v>#NUM!</v>
      </c>
      <c r="B23"/>
      <c r="C23"/>
      <c r="D23"/>
      <c r="E23"/>
      <c r="F23"/>
      <c r="G23"/>
      <c r="H23"/>
      <c r="I23"/>
      <c r="J23"/>
      <c r="K23"/>
      <c r="L23"/>
      <c r="M23" s="514"/>
    </row>
    <row r="24" spans="1:13" x14ac:dyDescent="0.2">
      <c r="A24" s="514" t="e">
        <f t="shared" si="0"/>
        <v>#NUM!</v>
      </c>
      <c r="B24"/>
      <c r="C24"/>
      <c r="D24"/>
      <c r="E24"/>
      <c r="F24"/>
      <c r="G24"/>
      <c r="H24"/>
      <c r="I24"/>
      <c r="J24"/>
      <c r="K24"/>
      <c r="L24"/>
      <c r="M24" s="514"/>
    </row>
    <row r="25" spans="1:13" x14ac:dyDescent="0.2">
      <c r="A25" s="514" t="e">
        <f t="shared" si="0"/>
        <v>#NUM!</v>
      </c>
      <c r="B25"/>
      <c r="C25"/>
      <c r="D25"/>
      <c r="E25"/>
      <c r="F25"/>
      <c r="G25"/>
      <c r="H25"/>
      <c r="I25"/>
      <c r="J25"/>
      <c r="K25"/>
      <c r="L25"/>
      <c r="M25" s="514"/>
    </row>
    <row r="26" spans="1:13" x14ac:dyDescent="0.2">
      <c r="A26" s="514" t="e">
        <f t="shared" si="0"/>
        <v>#NUM!</v>
      </c>
      <c r="B26"/>
      <c r="C26"/>
      <c r="D26"/>
      <c r="E26"/>
      <c r="F26"/>
      <c r="G26"/>
      <c r="H26"/>
      <c r="I26"/>
      <c r="J26"/>
      <c r="K26"/>
      <c r="L26"/>
      <c r="M26" s="514"/>
    </row>
    <row r="27" spans="1:13" x14ac:dyDescent="0.2">
      <c r="A27" s="514" t="e">
        <f t="shared" si="0"/>
        <v>#NUM!</v>
      </c>
      <c r="B27"/>
      <c r="C27"/>
      <c r="D27"/>
      <c r="E27"/>
      <c r="F27"/>
      <c r="G27"/>
      <c r="H27"/>
      <c r="I27"/>
      <c r="J27"/>
      <c r="K27"/>
      <c r="L27"/>
      <c r="M27" s="514"/>
    </row>
    <row r="28" spans="1:13" x14ac:dyDescent="0.2">
      <c r="A28" s="514" t="e">
        <f t="shared" si="0"/>
        <v>#NUM!</v>
      </c>
      <c r="B28"/>
      <c r="C28"/>
      <c r="D28"/>
      <c r="E28"/>
      <c r="F28"/>
      <c r="G28"/>
      <c r="H28"/>
      <c r="I28"/>
      <c r="J28"/>
      <c r="K28"/>
      <c r="L28"/>
      <c r="M28" s="514"/>
    </row>
    <row r="29" spans="1:13" x14ac:dyDescent="0.2">
      <c r="A29" s="514" t="e">
        <f t="shared" si="0"/>
        <v>#NUM!</v>
      </c>
      <c r="B29"/>
      <c r="C29"/>
      <c r="D29"/>
      <c r="E29"/>
      <c r="F29"/>
      <c r="G29"/>
      <c r="H29"/>
      <c r="I29"/>
      <c r="J29"/>
      <c r="K29"/>
      <c r="L29"/>
      <c r="M29" s="514"/>
    </row>
    <row r="30" spans="1:13" x14ac:dyDescent="0.2">
      <c r="A30" s="514" t="e">
        <f t="shared" si="0"/>
        <v>#NUM!</v>
      </c>
      <c r="B30"/>
      <c r="C30"/>
      <c r="D30"/>
      <c r="E30"/>
      <c r="F30"/>
      <c r="G30"/>
      <c r="H30"/>
      <c r="I30"/>
      <c r="J30"/>
      <c r="K30"/>
      <c r="L30"/>
      <c r="M30" s="514"/>
    </row>
    <row r="31" spans="1:13" x14ac:dyDescent="0.2">
      <c r="A31" s="514" t="e">
        <f t="shared" si="0"/>
        <v>#NUM!</v>
      </c>
      <c r="B31"/>
      <c r="C31"/>
      <c r="D31"/>
      <c r="E31"/>
      <c r="F31"/>
      <c r="G31"/>
      <c r="H31"/>
      <c r="I31"/>
      <c r="J31"/>
      <c r="K31"/>
      <c r="L31"/>
      <c r="M31" s="514"/>
    </row>
    <row r="32" spans="1:13" x14ac:dyDescent="0.2">
      <c r="A32" s="514" t="e">
        <f t="shared" si="0"/>
        <v>#NUM!</v>
      </c>
      <c r="B32"/>
      <c r="C32"/>
      <c r="D32"/>
      <c r="E32"/>
      <c r="F32"/>
      <c r="G32"/>
      <c r="H32"/>
      <c r="I32"/>
      <c r="J32"/>
      <c r="K32"/>
      <c r="L32"/>
      <c r="M32" s="514"/>
    </row>
    <row r="33" spans="1:13" x14ac:dyDescent="0.2">
      <c r="A33" s="514" t="e">
        <f t="shared" si="0"/>
        <v>#NUM!</v>
      </c>
      <c r="B33"/>
      <c r="C33"/>
      <c r="D33"/>
      <c r="E33"/>
      <c r="F33"/>
      <c r="G33"/>
      <c r="H33"/>
      <c r="I33"/>
      <c r="J33"/>
      <c r="K33"/>
      <c r="L33"/>
      <c r="M33" s="514"/>
    </row>
    <row r="34" spans="1:13" x14ac:dyDescent="0.2">
      <c r="A34" s="514" t="e">
        <f t="shared" si="0"/>
        <v>#NUM!</v>
      </c>
      <c r="B34"/>
      <c r="C34"/>
      <c r="D34"/>
      <c r="E34"/>
      <c r="F34"/>
      <c r="G34"/>
      <c r="H34"/>
      <c r="I34"/>
      <c r="J34"/>
      <c r="K34"/>
      <c r="L34"/>
      <c r="M34" s="514"/>
    </row>
    <row r="35" spans="1:13" x14ac:dyDescent="0.2">
      <c r="A35" s="514" t="e">
        <f t="shared" si="0"/>
        <v>#NUM!</v>
      </c>
      <c r="B35"/>
      <c r="C35"/>
      <c r="D35"/>
      <c r="E35"/>
      <c r="F35"/>
      <c r="G35"/>
      <c r="H35"/>
      <c r="I35"/>
      <c r="J35"/>
      <c r="K35"/>
      <c r="L35"/>
      <c r="M35" s="514"/>
    </row>
    <row r="36" spans="1:13" x14ac:dyDescent="0.2">
      <c r="A36" s="514" t="e">
        <f t="shared" si="0"/>
        <v>#NUM!</v>
      </c>
      <c r="B36"/>
      <c r="C36"/>
      <c r="D36"/>
      <c r="E36"/>
      <c r="F36"/>
      <c r="G36"/>
      <c r="H36"/>
      <c r="I36"/>
      <c r="J36"/>
      <c r="K36"/>
      <c r="L36"/>
      <c r="M36" s="514"/>
    </row>
    <row r="37" spans="1:13" x14ac:dyDescent="0.2">
      <c r="A37" s="514" t="e">
        <f t="shared" si="0"/>
        <v>#NUM!</v>
      </c>
      <c r="B37"/>
      <c r="C37"/>
      <c r="D37"/>
      <c r="E37"/>
      <c r="F37"/>
      <c r="G37"/>
      <c r="H37"/>
      <c r="I37"/>
      <c r="J37"/>
      <c r="K37"/>
      <c r="L37"/>
      <c r="M37" s="514"/>
    </row>
    <row r="38" spans="1:13" x14ac:dyDescent="0.2">
      <c r="A38" s="514" t="e">
        <f t="shared" si="0"/>
        <v>#NUM!</v>
      </c>
      <c r="B38"/>
      <c r="C38"/>
      <c r="D38"/>
      <c r="E38"/>
      <c r="F38"/>
      <c r="G38"/>
      <c r="H38"/>
      <c r="I38"/>
      <c r="J38"/>
      <c r="K38"/>
      <c r="L38"/>
      <c r="M38" s="514"/>
    </row>
    <row r="39" spans="1:13" x14ac:dyDescent="0.2">
      <c r="A39" s="514" t="e">
        <f t="shared" si="0"/>
        <v>#NUM!</v>
      </c>
      <c r="B39"/>
      <c r="C39"/>
      <c r="D39"/>
      <c r="E39"/>
      <c r="F39"/>
      <c r="G39"/>
      <c r="H39"/>
      <c r="I39"/>
      <c r="J39"/>
      <c r="K39"/>
      <c r="L39"/>
      <c r="M39" s="514"/>
    </row>
    <row r="40" spans="1:13" x14ac:dyDescent="0.2">
      <c r="A40" s="514" t="e">
        <f t="shared" si="0"/>
        <v>#NUM!</v>
      </c>
      <c r="B40"/>
      <c r="C40"/>
      <c r="D40"/>
      <c r="E40"/>
      <c r="F40"/>
      <c r="G40"/>
      <c r="H40"/>
      <c r="I40"/>
      <c r="J40"/>
      <c r="K40"/>
      <c r="L40"/>
      <c r="M40" s="514"/>
    </row>
    <row r="41" spans="1:13" x14ac:dyDescent="0.2">
      <c r="A41" s="514" t="e">
        <f t="shared" si="0"/>
        <v>#NUM!</v>
      </c>
      <c r="B41"/>
      <c r="C41"/>
      <c r="D41"/>
      <c r="E41"/>
      <c r="F41"/>
      <c r="G41"/>
      <c r="H41"/>
      <c r="I41"/>
      <c r="J41"/>
      <c r="K41"/>
      <c r="L41"/>
      <c r="M41" s="514"/>
    </row>
    <row r="42" spans="1:13" x14ac:dyDescent="0.2">
      <c r="A42" s="514" t="e">
        <f t="shared" si="0"/>
        <v>#NUM!</v>
      </c>
      <c r="B42"/>
      <c r="C42"/>
      <c r="D42"/>
      <c r="E42"/>
      <c r="F42"/>
      <c r="G42"/>
      <c r="H42"/>
      <c r="I42"/>
      <c r="J42"/>
      <c r="K42"/>
      <c r="L42"/>
      <c r="M42" s="514"/>
    </row>
    <row r="43" spans="1:13" x14ac:dyDescent="0.2">
      <c r="A43" s="514" t="e">
        <f t="shared" si="0"/>
        <v>#NUM!</v>
      </c>
      <c r="B43"/>
      <c r="C43"/>
      <c r="D43"/>
      <c r="E43"/>
      <c r="F43"/>
      <c r="G43"/>
      <c r="H43"/>
      <c r="I43"/>
      <c r="J43"/>
      <c r="K43"/>
      <c r="L43"/>
      <c r="M43" s="514"/>
    </row>
    <row r="44" spans="1:13" x14ac:dyDescent="0.2">
      <c r="A44" s="514" t="e">
        <f t="shared" si="0"/>
        <v>#NUM!</v>
      </c>
      <c r="B44"/>
      <c r="C44"/>
      <c r="D44"/>
      <c r="E44"/>
      <c r="F44"/>
      <c r="G44"/>
      <c r="H44"/>
      <c r="I44"/>
      <c r="J44"/>
      <c r="K44"/>
      <c r="L44"/>
      <c r="M44" s="514"/>
    </row>
    <row r="45" spans="1:13" x14ac:dyDescent="0.2">
      <c r="A45" s="514" t="e">
        <f t="shared" si="0"/>
        <v>#NUM!</v>
      </c>
      <c r="B45"/>
      <c r="C45"/>
      <c r="D45"/>
      <c r="E45"/>
      <c r="F45"/>
      <c r="G45"/>
      <c r="H45"/>
      <c r="I45"/>
      <c r="J45"/>
      <c r="K45"/>
      <c r="L45"/>
      <c r="M45" s="514"/>
    </row>
    <row r="46" spans="1:13" x14ac:dyDescent="0.2">
      <c r="A46" s="514" t="e">
        <f t="shared" si="0"/>
        <v>#NUM!</v>
      </c>
      <c r="B46"/>
      <c r="C46"/>
      <c r="D46"/>
      <c r="E46"/>
      <c r="F46"/>
      <c r="G46"/>
      <c r="H46"/>
      <c r="I46"/>
      <c r="J46"/>
      <c r="K46"/>
      <c r="L46"/>
      <c r="M46" s="514"/>
    </row>
    <row r="47" spans="1:13" x14ac:dyDescent="0.2">
      <c r="A47" s="514" t="e">
        <f t="shared" si="0"/>
        <v>#NUM!</v>
      </c>
      <c r="B47"/>
      <c r="C47"/>
      <c r="D47"/>
      <c r="E47"/>
      <c r="F47"/>
      <c r="G47"/>
      <c r="H47"/>
      <c r="I47"/>
      <c r="J47"/>
      <c r="K47"/>
      <c r="L47"/>
      <c r="M47" s="514"/>
    </row>
    <row r="48" spans="1:13" x14ac:dyDescent="0.2">
      <c r="A48" s="514" t="e">
        <f t="shared" si="0"/>
        <v>#NUM!</v>
      </c>
      <c r="B48"/>
      <c r="C48"/>
      <c r="D48"/>
      <c r="E48"/>
      <c r="F48"/>
      <c r="G48"/>
      <c r="H48"/>
      <c r="I48"/>
      <c r="J48"/>
      <c r="K48"/>
      <c r="L48"/>
      <c r="M48" s="514"/>
    </row>
    <row r="49" spans="1:13" x14ac:dyDescent="0.2">
      <c r="A49" s="514" t="e">
        <f t="shared" si="0"/>
        <v>#NUM!</v>
      </c>
      <c r="B49"/>
      <c r="C49"/>
      <c r="D49"/>
      <c r="E49"/>
      <c r="F49"/>
      <c r="G49"/>
      <c r="H49"/>
      <c r="I49"/>
      <c r="J49"/>
      <c r="K49"/>
      <c r="L49"/>
      <c r="M49" s="514"/>
    </row>
    <row r="50" spans="1:13" x14ac:dyDescent="0.2">
      <c r="A50" s="514" t="e">
        <f t="shared" si="0"/>
        <v>#NUM!</v>
      </c>
      <c r="B50"/>
      <c r="C50"/>
      <c r="D50"/>
      <c r="E50"/>
      <c r="F50"/>
      <c r="G50"/>
      <c r="H50"/>
      <c r="I50"/>
      <c r="J50"/>
      <c r="K50"/>
      <c r="L50"/>
      <c r="M50" s="514"/>
    </row>
    <row r="51" spans="1:13" x14ac:dyDescent="0.2">
      <c r="A51" s="514" t="e">
        <f t="shared" si="0"/>
        <v>#NUM!</v>
      </c>
      <c r="B51"/>
      <c r="C51"/>
      <c r="D51"/>
      <c r="E51"/>
      <c r="F51"/>
      <c r="G51"/>
      <c r="H51"/>
      <c r="I51"/>
      <c r="J51"/>
      <c r="K51"/>
      <c r="L51"/>
      <c r="M51" s="514"/>
    </row>
    <row r="52" spans="1:13" x14ac:dyDescent="0.2">
      <c r="A52" s="514" t="e">
        <f t="shared" si="0"/>
        <v>#NUM!</v>
      </c>
      <c r="B52"/>
      <c r="C52"/>
      <c r="D52"/>
      <c r="E52"/>
      <c r="F52"/>
      <c r="G52"/>
      <c r="H52"/>
      <c r="I52"/>
      <c r="J52"/>
      <c r="K52"/>
      <c r="L52"/>
      <c r="M52" s="514"/>
    </row>
    <row r="53" spans="1:13" x14ac:dyDescent="0.2">
      <c r="A53" s="514" t="e">
        <f t="shared" si="0"/>
        <v>#NUM!</v>
      </c>
      <c r="B53"/>
      <c r="C53"/>
      <c r="D53"/>
      <c r="E53"/>
      <c r="F53"/>
      <c r="G53"/>
      <c r="H53"/>
      <c r="I53"/>
      <c r="J53"/>
      <c r="K53"/>
      <c r="L53"/>
      <c r="M53" s="514"/>
    </row>
    <row r="54" spans="1:13" x14ac:dyDescent="0.2">
      <c r="A54" s="514" t="e">
        <f t="shared" si="0"/>
        <v>#NUM!</v>
      </c>
      <c r="B54"/>
      <c r="C54"/>
      <c r="D54"/>
      <c r="E54"/>
      <c r="F54"/>
      <c r="G54"/>
      <c r="H54"/>
      <c r="I54"/>
      <c r="J54"/>
      <c r="K54"/>
      <c r="L54"/>
      <c r="M54" s="514"/>
    </row>
    <row r="55" spans="1:13" x14ac:dyDescent="0.2">
      <c r="A55" s="514" t="e">
        <f t="shared" si="0"/>
        <v>#NUM!</v>
      </c>
      <c r="B55"/>
      <c r="C55"/>
      <c r="D55"/>
      <c r="E55"/>
      <c r="F55"/>
      <c r="G55"/>
      <c r="H55"/>
      <c r="I55"/>
      <c r="J55"/>
      <c r="K55"/>
      <c r="L55"/>
      <c r="M55" s="514"/>
    </row>
    <row r="56" spans="1:13" x14ac:dyDescent="0.2">
      <c r="A56" s="514" t="e">
        <f t="shared" si="0"/>
        <v>#NUM!</v>
      </c>
      <c r="B56"/>
      <c r="C56"/>
      <c r="D56"/>
      <c r="E56"/>
      <c r="F56"/>
      <c r="G56"/>
      <c r="H56"/>
      <c r="I56"/>
      <c r="J56"/>
      <c r="K56"/>
      <c r="L56"/>
      <c r="M56" s="514"/>
    </row>
    <row r="57" spans="1:13" x14ac:dyDescent="0.2">
      <c r="A57" s="514" t="e">
        <f t="shared" si="0"/>
        <v>#NUM!</v>
      </c>
      <c r="B57"/>
      <c r="C57"/>
      <c r="D57"/>
      <c r="E57"/>
      <c r="F57"/>
      <c r="G57"/>
      <c r="H57"/>
      <c r="I57"/>
      <c r="J57"/>
      <c r="K57"/>
      <c r="L57"/>
      <c r="M57" s="514"/>
    </row>
    <row r="58" spans="1:13" x14ac:dyDescent="0.2">
      <c r="A58" s="514" t="e">
        <f t="shared" si="0"/>
        <v>#NUM!</v>
      </c>
      <c r="B58"/>
      <c r="C58"/>
      <c r="D58"/>
      <c r="E58"/>
      <c r="F58"/>
      <c r="G58"/>
      <c r="H58"/>
      <c r="I58"/>
      <c r="J58"/>
      <c r="K58"/>
      <c r="L58"/>
      <c r="M58" s="514"/>
    </row>
    <row r="59" spans="1:13" x14ac:dyDescent="0.2">
      <c r="A59" s="514" t="e">
        <f t="shared" si="0"/>
        <v>#NUM!</v>
      </c>
      <c r="B59"/>
      <c r="C59"/>
      <c r="D59"/>
      <c r="E59"/>
      <c r="F59"/>
      <c r="G59"/>
      <c r="H59"/>
      <c r="I59"/>
      <c r="J59"/>
      <c r="K59"/>
      <c r="L59"/>
      <c r="M59" s="514"/>
    </row>
    <row r="60" spans="1:13" x14ac:dyDescent="0.2">
      <c r="A60" s="514" t="e">
        <f t="shared" si="0"/>
        <v>#NUM!</v>
      </c>
      <c r="B60"/>
      <c r="C60"/>
      <c r="D60"/>
      <c r="E60"/>
      <c r="F60"/>
      <c r="G60"/>
      <c r="H60"/>
      <c r="I60"/>
      <c r="J60"/>
      <c r="K60"/>
      <c r="L60"/>
      <c r="M60" s="514"/>
    </row>
    <row r="61" spans="1:13" x14ac:dyDescent="0.2">
      <c r="A61" s="514" t="e">
        <f t="shared" si="0"/>
        <v>#NUM!</v>
      </c>
      <c r="B61"/>
      <c r="C61"/>
      <c r="D61"/>
      <c r="E61"/>
      <c r="F61"/>
      <c r="G61"/>
      <c r="H61"/>
      <c r="I61"/>
      <c r="J61"/>
      <c r="K61"/>
      <c r="L61"/>
      <c r="M61" s="514"/>
    </row>
    <row r="62" spans="1:13" x14ac:dyDescent="0.2">
      <c r="A62" s="514" t="e">
        <f t="shared" si="0"/>
        <v>#NUM!</v>
      </c>
      <c r="B62"/>
      <c r="C62"/>
      <c r="D62"/>
      <c r="E62"/>
      <c r="F62"/>
      <c r="G62"/>
      <c r="H62"/>
      <c r="I62"/>
      <c r="J62"/>
      <c r="K62"/>
      <c r="L62"/>
      <c r="M62" s="514"/>
    </row>
    <row r="63" spans="1:13" x14ac:dyDescent="0.2">
      <c r="A63" s="514" t="e">
        <f t="shared" si="0"/>
        <v>#NUM!</v>
      </c>
      <c r="B63"/>
      <c r="C63"/>
      <c r="D63"/>
      <c r="E63"/>
      <c r="F63"/>
      <c r="G63"/>
      <c r="H63"/>
      <c r="I63"/>
      <c r="J63"/>
      <c r="K63"/>
      <c r="L63"/>
      <c r="M63" s="514"/>
    </row>
    <row r="64" spans="1:13" x14ac:dyDescent="0.2">
      <c r="A64" s="514" t="e">
        <f t="shared" si="0"/>
        <v>#NUM!</v>
      </c>
      <c r="B64"/>
      <c r="C64"/>
      <c r="D64"/>
      <c r="E64"/>
      <c r="F64"/>
      <c r="G64"/>
      <c r="H64"/>
      <c r="I64"/>
      <c r="J64"/>
      <c r="K64"/>
      <c r="L64"/>
      <c r="M64" s="514"/>
    </row>
    <row r="65" spans="1:13" x14ac:dyDescent="0.2">
      <c r="A65" s="514" t="e">
        <f t="shared" si="0"/>
        <v>#NUM!</v>
      </c>
      <c r="B65"/>
      <c r="C65"/>
      <c r="D65"/>
      <c r="E65"/>
      <c r="F65"/>
      <c r="G65"/>
      <c r="H65"/>
      <c r="I65"/>
      <c r="J65"/>
      <c r="K65"/>
      <c r="L65"/>
      <c r="M65" s="514"/>
    </row>
    <row r="66" spans="1:13" x14ac:dyDescent="0.2">
      <c r="A66" s="514" t="e">
        <f t="shared" si="0"/>
        <v>#NUM!</v>
      </c>
      <c r="B66"/>
      <c r="C66"/>
      <c r="D66"/>
      <c r="E66"/>
      <c r="F66"/>
      <c r="G66"/>
      <c r="H66"/>
      <c r="I66"/>
      <c r="J66"/>
      <c r="K66"/>
      <c r="L66"/>
      <c r="M66" s="514"/>
    </row>
    <row r="67" spans="1:13" x14ac:dyDescent="0.2">
      <c r="A67" s="514" t="e">
        <f t="shared" si="0"/>
        <v>#NUM!</v>
      </c>
      <c r="B67"/>
      <c r="C67"/>
      <c r="D67"/>
      <c r="E67"/>
      <c r="F67"/>
      <c r="G67"/>
      <c r="H67"/>
      <c r="I67"/>
      <c r="J67"/>
      <c r="K67"/>
      <c r="L67"/>
      <c r="M67" s="514"/>
    </row>
    <row r="68" spans="1:13" x14ac:dyDescent="0.2">
      <c r="A68" s="514" t="e">
        <f t="shared" si="0"/>
        <v>#NUM!</v>
      </c>
      <c r="B68"/>
      <c r="C68"/>
      <c r="D68"/>
      <c r="E68"/>
      <c r="F68"/>
      <c r="G68"/>
      <c r="H68"/>
      <c r="I68"/>
      <c r="J68"/>
      <c r="K68"/>
      <c r="L68"/>
      <c r="M68" s="514"/>
    </row>
    <row r="69" spans="1:13" x14ac:dyDescent="0.2">
      <c r="A69" s="514" t="e">
        <f t="shared" si="0"/>
        <v>#NUM!</v>
      </c>
      <c r="B69"/>
      <c r="C69"/>
      <c r="D69"/>
      <c r="E69"/>
      <c r="F69"/>
      <c r="G69"/>
      <c r="H69"/>
      <c r="I69"/>
      <c r="J69"/>
      <c r="K69"/>
      <c r="L69"/>
      <c r="M69" s="514"/>
    </row>
    <row r="70" spans="1:13" x14ac:dyDescent="0.2">
      <c r="A70" s="514" t="e">
        <f t="shared" ref="A70:A133" si="1">DATE(F70,G70,H70)</f>
        <v>#NUM!</v>
      </c>
      <c r="B70"/>
      <c r="C70"/>
      <c r="D70"/>
      <c r="E70"/>
      <c r="F70"/>
      <c r="G70"/>
      <c r="H70"/>
      <c r="I70"/>
      <c r="J70"/>
      <c r="K70"/>
      <c r="L70"/>
      <c r="M70" s="514"/>
    </row>
    <row r="71" spans="1:13" x14ac:dyDescent="0.2">
      <c r="A71" s="514" t="e">
        <f t="shared" si="1"/>
        <v>#NUM!</v>
      </c>
      <c r="B71"/>
      <c r="C71"/>
      <c r="D71"/>
      <c r="E71"/>
      <c r="F71"/>
      <c r="G71"/>
      <c r="H71"/>
      <c r="I71"/>
      <c r="J71"/>
      <c r="K71"/>
      <c r="L71"/>
      <c r="M71" s="514"/>
    </row>
    <row r="72" spans="1:13" x14ac:dyDescent="0.2">
      <c r="A72" s="514" t="e">
        <f t="shared" si="1"/>
        <v>#NUM!</v>
      </c>
      <c r="B72"/>
      <c r="C72"/>
      <c r="D72"/>
      <c r="E72"/>
      <c r="F72"/>
      <c r="G72"/>
      <c r="H72"/>
      <c r="I72"/>
      <c r="J72"/>
      <c r="K72"/>
      <c r="L72"/>
      <c r="M72" s="514"/>
    </row>
    <row r="73" spans="1:13" x14ac:dyDescent="0.2">
      <c r="A73" s="514" t="e">
        <f t="shared" si="1"/>
        <v>#NUM!</v>
      </c>
      <c r="B73"/>
      <c r="C73"/>
      <c r="D73"/>
      <c r="E73"/>
      <c r="F73"/>
      <c r="G73"/>
      <c r="H73"/>
      <c r="I73"/>
      <c r="J73"/>
      <c r="K73"/>
      <c r="L73"/>
      <c r="M73" s="514"/>
    </row>
    <row r="74" spans="1:13" x14ac:dyDescent="0.2">
      <c r="A74" s="514" t="e">
        <f t="shared" si="1"/>
        <v>#NUM!</v>
      </c>
      <c r="B74"/>
      <c r="C74"/>
      <c r="D74"/>
      <c r="E74"/>
      <c r="F74"/>
      <c r="G74"/>
      <c r="H74"/>
      <c r="I74"/>
      <c r="J74"/>
      <c r="K74"/>
      <c r="L74"/>
      <c r="M74" s="514"/>
    </row>
    <row r="75" spans="1:13" x14ac:dyDescent="0.2">
      <c r="A75" s="514" t="e">
        <f t="shared" si="1"/>
        <v>#NUM!</v>
      </c>
      <c r="B75"/>
      <c r="C75"/>
      <c r="D75"/>
      <c r="E75"/>
      <c r="F75"/>
      <c r="G75"/>
      <c r="H75"/>
      <c r="I75"/>
      <c r="J75"/>
      <c r="K75"/>
      <c r="L75"/>
      <c r="M75" s="514"/>
    </row>
    <row r="76" spans="1:13" x14ac:dyDescent="0.2">
      <c r="A76" s="514" t="e">
        <f t="shared" si="1"/>
        <v>#NUM!</v>
      </c>
      <c r="B76"/>
      <c r="C76"/>
      <c r="D76"/>
      <c r="E76"/>
      <c r="F76"/>
      <c r="G76"/>
      <c r="H76"/>
      <c r="I76"/>
      <c r="J76"/>
      <c r="K76"/>
      <c r="L76"/>
      <c r="M76" s="514"/>
    </row>
    <row r="77" spans="1:13" x14ac:dyDescent="0.2">
      <c r="A77" s="514" t="e">
        <f t="shared" si="1"/>
        <v>#NUM!</v>
      </c>
      <c r="B77"/>
      <c r="C77"/>
      <c r="D77"/>
      <c r="E77"/>
      <c r="F77"/>
      <c r="G77"/>
      <c r="H77"/>
      <c r="I77"/>
      <c r="J77"/>
      <c r="K77"/>
      <c r="L77"/>
      <c r="M77" s="514"/>
    </row>
    <row r="78" spans="1:13" x14ac:dyDescent="0.2">
      <c r="A78" s="514" t="e">
        <f t="shared" si="1"/>
        <v>#NUM!</v>
      </c>
      <c r="B78"/>
      <c r="C78"/>
      <c r="D78"/>
      <c r="E78"/>
      <c r="F78"/>
      <c r="G78"/>
      <c r="H78"/>
      <c r="I78"/>
      <c r="J78"/>
      <c r="K78"/>
      <c r="L78"/>
      <c r="M78" s="514"/>
    </row>
    <row r="79" spans="1:13" x14ac:dyDescent="0.2">
      <c r="A79" s="514" t="e">
        <f t="shared" si="1"/>
        <v>#NUM!</v>
      </c>
      <c r="B79"/>
      <c r="C79"/>
      <c r="D79"/>
      <c r="E79"/>
      <c r="F79"/>
      <c r="G79"/>
      <c r="H79"/>
      <c r="I79"/>
      <c r="J79"/>
      <c r="K79"/>
      <c r="L79"/>
      <c r="M79" s="514"/>
    </row>
    <row r="80" spans="1:13" x14ac:dyDescent="0.2">
      <c r="A80" s="514" t="e">
        <f t="shared" si="1"/>
        <v>#NUM!</v>
      </c>
      <c r="B80"/>
      <c r="C80"/>
      <c r="D80"/>
      <c r="E80"/>
      <c r="F80"/>
      <c r="G80"/>
      <c r="H80"/>
      <c r="I80"/>
      <c r="J80"/>
      <c r="K80"/>
      <c r="L80"/>
      <c r="M80" s="514"/>
    </row>
    <row r="81" spans="1:13" x14ac:dyDescent="0.2">
      <c r="A81" s="514" t="e">
        <f t="shared" si="1"/>
        <v>#NUM!</v>
      </c>
      <c r="B81"/>
      <c r="C81"/>
      <c r="D81"/>
      <c r="E81"/>
      <c r="F81"/>
      <c r="G81"/>
      <c r="H81"/>
      <c r="I81"/>
      <c r="J81"/>
      <c r="K81"/>
      <c r="L81"/>
      <c r="M81" s="514"/>
    </row>
    <row r="82" spans="1:13" x14ac:dyDescent="0.2">
      <c r="A82" s="514" t="e">
        <f t="shared" si="1"/>
        <v>#NUM!</v>
      </c>
      <c r="B82"/>
      <c r="C82"/>
      <c r="D82"/>
      <c r="E82"/>
      <c r="F82"/>
      <c r="G82"/>
      <c r="H82"/>
      <c r="I82"/>
      <c r="J82"/>
      <c r="K82"/>
      <c r="L82"/>
      <c r="M82" s="514"/>
    </row>
    <row r="83" spans="1:13" x14ac:dyDescent="0.2">
      <c r="A83" s="514" t="e">
        <f t="shared" si="1"/>
        <v>#NUM!</v>
      </c>
      <c r="B83"/>
      <c r="C83"/>
      <c r="D83"/>
      <c r="E83"/>
      <c r="F83"/>
      <c r="G83"/>
      <c r="H83"/>
      <c r="I83"/>
      <c r="J83"/>
      <c r="K83"/>
      <c r="L83"/>
      <c r="M83" s="514"/>
    </row>
    <row r="84" spans="1:13" x14ac:dyDescent="0.2">
      <c r="A84" s="514" t="e">
        <f t="shared" si="1"/>
        <v>#NUM!</v>
      </c>
      <c r="B84"/>
      <c r="C84"/>
      <c r="D84"/>
      <c r="E84"/>
      <c r="F84"/>
      <c r="G84"/>
      <c r="H84"/>
      <c r="I84"/>
      <c r="J84"/>
      <c r="K84"/>
      <c r="L84"/>
      <c r="M84" s="514"/>
    </row>
    <row r="85" spans="1:13" x14ac:dyDescent="0.2">
      <c r="A85" s="514" t="e">
        <f t="shared" si="1"/>
        <v>#NUM!</v>
      </c>
      <c r="B85"/>
      <c r="C85"/>
      <c r="D85"/>
      <c r="E85"/>
      <c r="F85"/>
      <c r="G85"/>
      <c r="H85"/>
      <c r="I85"/>
      <c r="J85"/>
      <c r="K85"/>
      <c r="L85"/>
      <c r="M85" s="514"/>
    </row>
    <row r="86" spans="1:13" x14ac:dyDescent="0.2">
      <c r="A86" s="514" t="e">
        <f t="shared" si="1"/>
        <v>#NUM!</v>
      </c>
      <c r="B86"/>
      <c r="C86"/>
      <c r="D86"/>
      <c r="E86"/>
      <c r="F86"/>
      <c r="G86"/>
      <c r="H86"/>
      <c r="I86"/>
      <c r="J86"/>
      <c r="K86"/>
      <c r="L86"/>
      <c r="M86" s="514"/>
    </row>
    <row r="87" spans="1:13" x14ac:dyDescent="0.2">
      <c r="A87" s="514" t="e">
        <f t="shared" si="1"/>
        <v>#NUM!</v>
      </c>
      <c r="B87"/>
      <c r="C87"/>
      <c r="D87"/>
      <c r="E87"/>
      <c r="F87"/>
      <c r="G87"/>
      <c r="H87"/>
      <c r="I87"/>
      <c r="J87"/>
      <c r="K87"/>
      <c r="L87"/>
      <c r="M87" s="514"/>
    </row>
    <row r="88" spans="1:13" x14ac:dyDescent="0.2">
      <c r="A88" s="514" t="e">
        <f t="shared" si="1"/>
        <v>#NUM!</v>
      </c>
      <c r="B88"/>
      <c r="C88"/>
      <c r="D88"/>
      <c r="E88"/>
      <c r="F88"/>
      <c r="G88"/>
      <c r="H88"/>
      <c r="I88"/>
      <c r="J88"/>
      <c r="K88"/>
      <c r="L88"/>
      <c r="M88" s="514"/>
    </row>
    <row r="89" spans="1:13" x14ac:dyDescent="0.2">
      <c r="A89" s="514" t="e">
        <f t="shared" si="1"/>
        <v>#NUM!</v>
      </c>
      <c r="B89"/>
      <c r="C89"/>
      <c r="D89"/>
      <c r="E89"/>
      <c r="F89"/>
      <c r="G89"/>
      <c r="H89"/>
      <c r="I89"/>
      <c r="J89"/>
      <c r="K89"/>
      <c r="L89"/>
      <c r="M89" s="514"/>
    </row>
    <row r="90" spans="1:13" x14ac:dyDescent="0.2">
      <c r="A90" s="514" t="e">
        <f t="shared" si="1"/>
        <v>#NUM!</v>
      </c>
      <c r="B90"/>
      <c r="C90"/>
      <c r="D90"/>
      <c r="E90"/>
      <c r="F90"/>
      <c r="G90"/>
      <c r="H90"/>
      <c r="I90"/>
      <c r="J90"/>
      <c r="K90"/>
      <c r="L90"/>
      <c r="M90" s="514"/>
    </row>
    <row r="91" spans="1:13" x14ac:dyDescent="0.2">
      <c r="A91" s="514" t="e">
        <f t="shared" si="1"/>
        <v>#NUM!</v>
      </c>
      <c r="B91"/>
      <c r="C91"/>
      <c r="D91"/>
      <c r="E91"/>
      <c r="F91"/>
      <c r="G91"/>
      <c r="H91"/>
      <c r="I91"/>
      <c r="J91"/>
      <c r="K91"/>
      <c r="L91"/>
      <c r="M91" s="514"/>
    </row>
    <row r="92" spans="1:13" x14ac:dyDescent="0.2">
      <c r="A92" s="514" t="e">
        <f t="shared" si="1"/>
        <v>#NUM!</v>
      </c>
      <c r="B92"/>
      <c r="C92"/>
      <c r="D92"/>
      <c r="E92"/>
      <c r="F92"/>
      <c r="G92"/>
      <c r="H92"/>
      <c r="I92"/>
      <c r="J92"/>
      <c r="K92"/>
      <c r="L92"/>
      <c r="M92" s="514"/>
    </row>
    <row r="93" spans="1:13" x14ac:dyDescent="0.2">
      <c r="A93" s="514" t="e">
        <f t="shared" si="1"/>
        <v>#NUM!</v>
      </c>
      <c r="B93"/>
      <c r="C93"/>
      <c r="D93"/>
      <c r="E93"/>
      <c r="F93"/>
      <c r="G93"/>
      <c r="H93"/>
      <c r="I93"/>
      <c r="J93"/>
      <c r="K93"/>
      <c r="L93"/>
      <c r="M93" s="514"/>
    </row>
    <row r="94" spans="1:13" x14ac:dyDescent="0.2">
      <c r="A94" s="514" t="e">
        <f t="shared" si="1"/>
        <v>#NUM!</v>
      </c>
      <c r="B94"/>
      <c r="C94"/>
      <c r="D94"/>
      <c r="E94"/>
      <c r="F94"/>
      <c r="G94"/>
      <c r="H94"/>
      <c r="I94"/>
      <c r="J94"/>
      <c r="K94"/>
      <c r="L94"/>
      <c r="M94" s="514"/>
    </row>
    <row r="95" spans="1:13" x14ac:dyDescent="0.2">
      <c r="A95" s="514" t="e">
        <f t="shared" si="1"/>
        <v>#NUM!</v>
      </c>
      <c r="B95"/>
      <c r="C95"/>
      <c r="D95"/>
      <c r="E95"/>
      <c r="F95"/>
      <c r="G95"/>
      <c r="H95"/>
      <c r="I95"/>
      <c r="J95"/>
      <c r="K95"/>
      <c r="L95"/>
      <c r="M95" s="514"/>
    </row>
    <row r="96" spans="1:13" x14ac:dyDescent="0.2">
      <c r="A96" s="514" t="e">
        <f t="shared" si="1"/>
        <v>#NUM!</v>
      </c>
      <c r="B96"/>
      <c r="C96"/>
      <c r="D96"/>
      <c r="E96"/>
      <c r="F96"/>
      <c r="G96"/>
      <c r="H96"/>
      <c r="I96"/>
      <c r="J96"/>
      <c r="K96"/>
      <c r="L96"/>
      <c r="M96" s="514"/>
    </row>
    <row r="97" spans="1:13" x14ac:dyDescent="0.2">
      <c r="A97" s="514" t="e">
        <f t="shared" si="1"/>
        <v>#NUM!</v>
      </c>
      <c r="B97"/>
      <c r="C97"/>
      <c r="D97"/>
      <c r="E97"/>
      <c r="F97"/>
      <c r="G97"/>
      <c r="H97"/>
      <c r="I97"/>
      <c r="J97"/>
      <c r="K97"/>
      <c r="L97"/>
      <c r="M97" s="514"/>
    </row>
    <row r="98" spans="1:13" x14ac:dyDescent="0.2">
      <c r="A98" s="514" t="e">
        <f t="shared" si="1"/>
        <v>#NUM!</v>
      </c>
      <c r="B98"/>
      <c r="C98"/>
      <c r="D98"/>
      <c r="E98"/>
      <c r="F98"/>
      <c r="G98"/>
      <c r="H98"/>
      <c r="I98"/>
      <c r="J98"/>
      <c r="K98"/>
      <c r="L98"/>
      <c r="M98" s="514"/>
    </row>
    <row r="99" spans="1:13" x14ac:dyDescent="0.2">
      <c r="A99" s="514" t="e">
        <f t="shared" si="1"/>
        <v>#NUM!</v>
      </c>
      <c r="B99"/>
      <c r="C99"/>
      <c r="D99"/>
      <c r="E99"/>
      <c r="F99"/>
      <c r="G99"/>
      <c r="H99"/>
      <c r="I99"/>
      <c r="J99"/>
      <c r="K99"/>
      <c r="L99"/>
      <c r="M99" s="514"/>
    </row>
    <row r="100" spans="1:13" x14ac:dyDescent="0.2">
      <c r="A100" s="514" t="e">
        <f t="shared" si="1"/>
        <v>#NUM!</v>
      </c>
      <c r="B100"/>
      <c r="C100"/>
      <c r="D100"/>
      <c r="E100"/>
      <c r="F100"/>
      <c r="G100"/>
      <c r="H100"/>
      <c r="I100"/>
      <c r="J100"/>
      <c r="K100"/>
      <c r="L100"/>
      <c r="M100" s="514"/>
    </row>
    <row r="101" spans="1:13" x14ac:dyDescent="0.2">
      <c r="A101" s="514" t="e">
        <f t="shared" si="1"/>
        <v>#NUM!</v>
      </c>
      <c r="B101"/>
      <c r="C101"/>
      <c r="D101"/>
      <c r="E101"/>
      <c r="F101"/>
      <c r="G101"/>
      <c r="H101"/>
      <c r="I101"/>
      <c r="J101"/>
      <c r="K101"/>
      <c r="L101"/>
      <c r="M101" s="514"/>
    </row>
    <row r="102" spans="1:13" x14ac:dyDescent="0.2">
      <c r="A102" s="514" t="e">
        <f t="shared" si="1"/>
        <v>#NUM!</v>
      </c>
      <c r="B102"/>
      <c r="C102"/>
      <c r="D102"/>
      <c r="E102"/>
      <c r="F102"/>
      <c r="G102"/>
      <c r="H102"/>
      <c r="I102"/>
      <c r="J102"/>
      <c r="K102"/>
      <c r="L102"/>
      <c r="M102" s="514"/>
    </row>
    <row r="103" spans="1:13" x14ac:dyDescent="0.2">
      <c r="A103" s="514" t="e">
        <f t="shared" si="1"/>
        <v>#NUM!</v>
      </c>
      <c r="B103"/>
      <c r="C103"/>
      <c r="D103"/>
      <c r="E103"/>
      <c r="F103"/>
      <c r="G103"/>
      <c r="H103"/>
      <c r="I103"/>
      <c r="J103"/>
      <c r="K103"/>
      <c r="L103"/>
      <c r="M103" s="514"/>
    </row>
    <row r="104" spans="1:13" x14ac:dyDescent="0.2">
      <c r="A104" s="514" t="e">
        <f t="shared" si="1"/>
        <v>#NUM!</v>
      </c>
      <c r="B104"/>
      <c r="C104"/>
      <c r="D104"/>
      <c r="E104"/>
      <c r="F104"/>
      <c r="G104"/>
      <c r="H104"/>
      <c r="I104"/>
      <c r="J104"/>
      <c r="K104"/>
      <c r="L104"/>
      <c r="M104" s="514"/>
    </row>
    <row r="105" spans="1:13" x14ac:dyDescent="0.2">
      <c r="A105" s="514" t="e">
        <f t="shared" si="1"/>
        <v>#NUM!</v>
      </c>
      <c r="B105"/>
      <c r="C105"/>
      <c r="D105"/>
      <c r="E105"/>
      <c r="F105"/>
      <c r="G105"/>
      <c r="H105"/>
      <c r="I105"/>
      <c r="J105"/>
      <c r="K105"/>
      <c r="L105"/>
      <c r="M105" s="514"/>
    </row>
    <row r="106" spans="1:13" x14ac:dyDescent="0.2">
      <c r="A106" s="514" t="e">
        <f t="shared" si="1"/>
        <v>#NUM!</v>
      </c>
      <c r="B106"/>
      <c r="C106"/>
      <c r="D106"/>
      <c r="E106"/>
      <c r="F106"/>
      <c r="G106"/>
      <c r="H106"/>
      <c r="I106"/>
      <c r="J106"/>
      <c r="K106"/>
      <c r="L106"/>
      <c r="M106" s="514"/>
    </row>
    <row r="107" spans="1:13" x14ac:dyDescent="0.2">
      <c r="A107" s="514" t="e">
        <f t="shared" si="1"/>
        <v>#NUM!</v>
      </c>
      <c r="B107"/>
      <c r="C107"/>
      <c r="D107"/>
      <c r="E107"/>
      <c r="F107"/>
      <c r="G107"/>
      <c r="H107"/>
      <c r="I107"/>
      <c r="J107"/>
      <c r="K107"/>
      <c r="L107"/>
      <c r="M107" s="514"/>
    </row>
    <row r="108" spans="1:13" x14ac:dyDescent="0.2">
      <c r="A108" s="514" t="e">
        <f t="shared" si="1"/>
        <v>#NUM!</v>
      </c>
      <c r="B108"/>
      <c r="C108"/>
      <c r="D108"/>
      <c r="E108"/>
      <c r="F108"/>
      <c r="G108"/>
      <c r="H108"/>
      <c r="I108"/>
      <c r="J108"/>
      <c r="K108"/>
      <c r="L108"/>
      <c r="M108" s="514"/>
    </row>
    <row r="109" spans="1:13" x14ac:dyDescent="0.2">
      <c r="A109" s="514" t="e">
        <f t="shared" si="1"/>
        <v>#NUM!</v>
      </c>
      <c r="B109"/>
      <c r="C109"/>
      <c r="D109"/>
      <c r="E109"/>
      <c r="F109"/>
      <c r="G109"/>
      <c r="H109"/>
      <c r="I109"/>
      <c r="J109"/>
      <c r="K109"/>
      <c r="L109"/>
      <c r="M109" s="514"/>
    </row>
    <row r="110" spans="1:13" x14ac:dyDescent="0.2">
      <c r="A110" s="514" t="e">
        <f t="shared" si="1"/>
        <v>#NUM!</v>
      </c>
      <c r="B110"/>
      <c r="C110"/>
      <c r="D110"/>
      <c r="E110"/>
      <c r="F110"/>
      <c r="G110"/>
      <c r="H110"/>
      <c r="I110"/>
      <c r="J110"/>
      <c r="K110"/>
      <c r="L110"/>
      <c r="M110" s="514"/>
    </row>
    <row r="111" spans="1:13" x14ac:dyDescent="0.2">
      <c r="A111" s="514" t="e">
        <f t="shared" si="1"/>
        <v>#NUM!</v>
      </c>
      <c r="B111"/>
      <c r="C111"/>
      <c r="D111"/>
      <c r="E111"/>
      <c r="F111"/>
      <c r="G111"/>
      <c r="H111"/>
      <c r="I111"/>
      <c r="J111"/>
      <c r="K111"/>
      <c r="L111"/>
      <c r="M111" s="514"/>
    </row>
    <row r="112" spans="1:13" x14ac:dyDescent="0.2">
      <c r="A112" s="514" t="e">
        <f t="shared" si="1"/>
        <v>#NUM!</v>
      </c>
      <c r="B112"/>
      <c r="C112"/>
      <c r="D112"/>
      <c r="E112"/>
      <c r="F112"/>
      <c r="G112"/>
      <c r="H112"/>
      <c r="I112"/>
      <c r="J112"/>
      <c r="K112"/>
      <c r="L112"/>
      <c r="M112" s="514"/>
    </row>
    <row r="113" spans="1:13" x14ac:dyDescent="0.2">
      <c r="A113" s="514" t="e">
        <f t="shared" si="1"/>
        <v>#NUM!</v>
      </c>
      <c r="B113"/>
      <c r="C113"/>
      <c r="D113"/>
      <c r="E113"/>
      <c r="F113"/>
      <c r="G113"/>
      <c r="H113"/>
      <c r="I113"/>
      <c r="J113"/>
      <c r="K113"/>
      <c r="L113"/>
      <c r="M113" s="514"/>
    </row>
    <row r="114" spans="1:13" x14ac:dyDescent="0.2">
      <c r="A114" s="514" t="e">
        <f t="shared" si="1"/>
        <v>#NUM!</v>
      </c>
      <c r="B114"/>
      <c r="C114"/>
      <c r="D114"/>
      <c r="E114"/>
      <c r="F114"/>
      <c r="G114"/>
      <c r="H114"/>
      <c r="I114"/>
      <c r="J114"/>
      <c r="K114"/>
      <c r="L114"/>
      <c r="M114" s="514"/>
    </row>
    <row r="115" spans="1:13" x14ac:dyDescent="0.2">
      <c r="A115" s="514" t="e">
        <f t="shared" si="1"/>
        <v>#NUM!</v>
      </c>
      <c r="B115"/>
      <c r="C115"/>
      <c r="D115"/>
      <c r="E115"/>
      <c r="F115"/>
      <c r="G115"/>
      <c r="H115"/>
      <c r="I115"/>
      <c r="J115"/>
      <c r="K115"/>
      <c r="L115"/>
      <c r="M115" s="514"/>
    </row>
    <row r="116" spans="1:13" x14ac:dyDescent="0.2">
      <c r="A116" s="514" t="e">
        <f t="shared" si="1"/>
        <v>#NUM!</v>
      </c>
      <c r="B116"/>
      <c r="C116"/>
      <c r="D116"/>
      <c r="E116"/>
      <c r="F116"/>
      <c r="G116"/>
      <c r="H116"/>
      <c r="I116"/>
      <c r="J116"/>
      <c r="K116"/>
      <c r="L116"/>
      <c r="M116" s="514"/>
    </row>
    <row r="117" spans="1:13" x14ac:dyDescent="0.2">
      <c r="A117" s="514" t="e">
        <f t="shared" si="1"/>
        <v>#NUM!</v>
      </c>
      <c r="B117"/>
      <c r="C117"/>
      <c r="D117"/>
      <c r="E117"/>
      <c r="F117"/>
      <c r="G117"/>
      <c r="H117"/>
      <c r="I117"/>
      <c r="J117"/>
      <c r="K117"/>
      <c r="L117"/>
      <c r="M117" s="514"/>
    </row>
    <row r="118" spans="1:13" x14ac:dyDescent="0.2">
      <c r="A118" s="514" t="e">
        <f t="shared" si="1"/>
        <v>#NUM!</v>
      </c>
      <c r="B118"/>
      <c r="C118"/>
      <c r="D118"/>
      <c r="E118"/>
      <c r="F118"/>
      <c r="G118"/>
      <c r="H118"/>
      <c r="I118"/>
      <c r="J118"/>
      <c r="K118"/>
      <c r="L118"/>
      <c r="M118" s="514"/>
    </row>
    <row r="119" spans="1:13" x14ac:dyDescent="0.2">
      <c r="A119" s="514" t="e">
        <f t="shared" si="1"/>
        <v>#NUM!</v>
      </c>
      <c r="B119"/>
      <c r="C119"/>
      <c r="D119"/>
      <c r="E119"/>
      <c r="F119"/>
      <c r="G119"/>
      <c r="H119"/>
      <c r="I119"/>
      <c r="J119"/>
      <c r="K119"/>
      <c r="L119"/>
      <c r="M119" s="514"/>
    </row>
    <row r="120" spans="1:13" x14ac:dyDescent="0.2">
      <c r="A120" s="514" t="e">
        <f t="shared" si="1"/>
        <v>#NUM!</v>
      </c>
      <c r="B120"/>
      <c r="C120"/>
      <c r="D120"/>
      <c r="E120"/>
      <c r="F120"/>
      <c r="G120"/>
      <c r="H120"/>
      <c r="I120"/>
      <c r="J120"/>
      <c r="K120"/>
      <c r="L120"/>
      <c r="M120" s="514"/>
    </row>
    <row r="121" spans="1:13" x14ac:dyDescent="0.2">
      <c r="A121" s="514" t="e">
        <f t="shared" si="1"/>
        <v>#NUM!</v>
      </c>
      <c r="B121"/>
      <c r="C121"/>
      <c r="D121"/>
      <c r="E121"/>
      <c r="F121"/>
      <c r="G121"/>
      <c r="H121"/>
      <c r="I121"/>
      <c r="J121"/>
      <c r="K121"/>
      <c r="L121"/>
      <c r="M121" s="514"/>
    </row>
    <row r="122" spans="1:13" x14ac:dyDescent="0.2">
      <c r="A122" s="514" t="e">
        <f t="shared" si="1"/>
        <v>#NUM!</v>
      </c>
      <c r="B122"/>
      <c r="C122"/>
      <c r="D122"/>
      <c r="E122"/>
      <c r="F122"/>
      <c r="G122"/>
      <c r="H122"/>
      <c r="I122"/>
      <c r="J122"/>
      <c r="K122"/>
      <c r="L122"/>
      <c r="M122" s="514"/>
    </row>
    <row r="123" spans="1:13" x14ac:dyDescent="0.2">
      <c r="A123" s="514" t="e">
        <f t="shared" si="1"/>
        <v>#NUM!</v>
      </c>
      <c r="B123"/>
      <c r="C123"/>
      <c r="D123"/>
      <c r="E123"/>
      <c r="F123"/>
      <c r="G123"/>
      <c r="H123"/>
      <c r="I123"/>
      <c r="J123"/>
      <c r="K123"/>
      <c r="L123"/>
      <c r="M123" s="514"/>
    </row>
    <row r="124" spans="1:13" x14ac:dyDescent="0.2">
      <c r="A124" s="514" t="e">
        <f t="shared" si="1"/>
        <v>#NUM!</v>
      </c>
      <c r="B124"/>
      <c r="C124"/>
      <c r="D124"/>
      <c r="E124"/>
      <c r="F124"/>
      <c r="G124"/>
      <c r="H124"/>
      <c r="I124"/>
      <c r="J124"/>
      <c r="K124"/>
      <c r="L124"/>
      <c r="M124" s="514"/>
    </row>
    <row r="125" spans="1:13" x14ac:dyDescent="0.2">
      <c r="A125" s="514" t="e">
        <f t="shared" si="1"/>
        <v>#NUM!</v>
      </c>
      <c r="B125"/>
      <c r="C125"/>
      <c r="D125"/>
      <c r="E125"/>
      <c r="F125"/>
      <c r="G125"/>
      <c r="H125"/>
      <c r="I125"/>
      <c r="J125"/>
      <c r="K125"/>
      <c r="L125"/>
      <c r="M125" s="514"/>
    </row>
    <row r="126" spans="1:13" x14ac:dyDescent="0.2">
      <c r="A126" s="514" t="e">
        <f t="shared" si="1"/>
        <v>#NUM!</v>
      </c>
      <c r="B126"/>
      <c r="C126"/>
      <c r="D126"/>
      <c r="E126"/>
      <c r="F126"/>
      <c r="G126"/>
      <c r="H126"/>
      <c r="I126"/>
      <c r="J126"/>
      <c r="K126"/>
      <c r="L126"/>
      <c r="M126" s="514"/>
    </row>
    <row r="127" spans="1:13" x14ac:dyDescent="0.2">
      <c r="A127" s="514" t="e">
        <f t="shared" si="1"/>
        <v>#NUM!</v>
      </c>
      <c r="B127"/>
      <c r="C127"/>
      <c r="D127"/>
      <c r="E127"/>
      <c r="F127"/>
      <c r="G127"/>
      <c r="H127"/>
      <c r="I127"/>
      <c r="J127"/>
      <c r="K127"/>
      <c r="L127"/>
      <c r="M127" s="514"/>
    </row>
    <row r="128" spans="1:13" x14ac:dyDescent="0.2">
      <c r="A128" s="514" t="e">
        <f t="shared" si="1"/>
        <v>#NUM!</v>
      </c>
      <c r="B128"/>
      <c r="C128"/>
      <c r="D128"/>
      <c r="E128"/>
      <c r="F128"/>
      <c r="G128"/>
      <c r="H128"/>
      <c r="I128"/>
      <c r="J128"/>
      <c r="K128"/>
      <c r="L128"/>
      <c r="M128" s="514"/>
    </row>
    <row r="129" spans="1:13" x14ac:dyDescent="0.2">
      <c r="A129" s="514" t="e">
        <f t="shared" si="1"/>
        <v>#NUM!</v>
      </c>
      <c r="B129"/>
      <c r="C129"/>
      <c r="D129"/>
      <c r="E129"/>
      <c r="F129"/>
      <c r="G129"/>
      <c r="H129"/>
      <c r="I129"/>
      <c r="J129"/>
      <c r="K129"/>
      <c r="L129"/>
      <c r="M129" s="514"/>
    </row>
    <row r="130" spans="1:13" x14ac:dyDescent="0.2">
      <c r="A130" s="514" t="e">
        <f t="shared" si="1"/>
        <v>#NUM!</v>
      </c>
      <c r="B130"/>
      <c r="C130"/>
      <c r="D130"/>
      <c r="E130"/>
      <c r="F130"/>
      <c r="G130"/>
      <c r="H130"/>
      <c r="I130"/>
      <c r="J130"/>
      <c r="K130"/>
      <c r="L130"/>
      <c r="M130" s="514"/>
    </row>
    <row r="131" spans="1:13" x14ac:dyDescent="0.2">
      <c r="A131" s="514" t="e">
        <f t="shared" si="1"/>
        <v>#NUM!</v>
      </c>
      <c r="B131"/>
      <c r="C131"/>
      <c r="D131"/>
      <c r="E131"/>
      <c r="F131"/>
      <c r="G131"/>
      <c r="H131"/>
      <c r="I131"/>
      <c r="J131"/>
      <c r="K131"/>
      <c r="L131"/>
      <c r="M131" s="514"/>
    </row>
    <row r="132" spans="1:13" x14ac:dyDescent="0.2">
      <c r="A132" s="514" t="e">
        <f t="shared" si="1"/>
        <v>#NUM!</v>
      </c>
      <c r="B132"/>
      <c r="C132"/>
      <c r="D132"/>
      <c r="E132"/>
      <c r="F132"/>
      <c r="G132"/>
      <c r="H132"/>
      <c r="I132"/>
      <c r="J132"/>
      <c r="K132"/>
      <c r="L132"/>
      <c r="M132" s="514"/>
    </row>
    <row r="133" spans="1:13" x14ac:dyDescent="0.2">
      <c r="A133" s="514" t="e">
        <f t="shared" si="1"/>
        <v>#NUM!</v>
      </c>
      <c r="B133"/>
      <c r="C133"/>
      <c r="D133"/>
      <c r="E133"/>
      <c r="F133"/>
      <c r="G133"/>
      <c r="H133"/>
      <c r="I133"/>
      <c r="J133"/>
      <c r="K133"/>
      <c r="L133"/>
      <c r="M133" s="514"/>
    </row>
    <row r="134" spans="1:13" x14ac:dyDescent="0.2">
      <c r="A134" s="514" t="e">
        <f t="shared" ref="A134:A197" si="2">DATE(F134,G134,H134)</f>
        <v>#NUM!</v>
      </c>
      <c r="B134"/>
      <c r="C134"/>
      <c r="D134"/>
      <c r="E134"/>
      <c r="F134"/>
      <c r="G134"/>
      <c r="H134"/>
      <c r="I134"/>
      <c r="J134"/>
      <c r="K134"/>
      <c r="L134"/>
      <c r="M134" s="514"/>
    </row>
    <row r="135" spans="1:13" x14ac:dyDescent="0.2">
      <c r="A135" s="514" t="e">
        <f t="shared" si="2"/>
        <v>#NUM!</v>
      </c>
      <c r="B135"/>
      <c r="C135"/>
      <c r="D135"/>
      <c r="E135"/>
      <c r="F135"/>
      <c r="G135"/>
      <c r="H135"/>
      <c r="I135"/>
      <c r="J135"/>
      <c r="K135"/>
      <c r="L135"/>
      <c r="M135" s="514"/>
    </row>
    <row r="136" spans="1:13" x14ac:dyDescent="0.2">
      <c r="A136" s="514" t="e">
        <f t="shared" si="2"/>
        <v>#NUM!</v>
      </c>
      <c r="B136"/>
      <c r="C136"/>
      <c r="D136"/>
      <c r="E136"/>
      <c r="F136"/>
      <c r="G136"/>
      <c r="H136"/>
      <c r="I136"/>
      <c r="J136"/>
      <c r="K136"/>
      <c r="L136"/>
      <c r="M136" s="514"/>
    </row>
    <row r="137" spans="1:13" x14ac:dyDescent="0.2">
      <c r="A137" s="514" t="e">
        <f t="shared" si="2"/>
        <v>#NUM!</v>
      </c>
      <c r="B137"/>
      <c r="C137"/>
      <c r="D137"/>
      <c r="E137"/>
      <c r="F137"/>
      <c r="G137"/>
      <c r="H137"/>
      <c r="I137"/>
      <c r="J137"/>
      <c r="K137"/>
      <c r="L137"/>
      <c r="M137" s="514"/>
    </row>
    <row r="138" spans="1:13" x14ac:dyDescent="0.2">
      <c r="A138" s="514" t="e">
        <f t="shared" si="2"/>
        <v>#NUM!</v>
      </c>
      <c r="B138"/>
      <c r="C138"/>
      <c r="D138"/>
      <c r="E138"/>
      <c r="F138"/>
      <c r="G138"/>
      <c r="H138"/>
      <c r="I138"/>
      <c r="J138"/>
      <c r="K138"/>
      <c r="L138"/>
      <c r="M138" s="514"/>
    </row>
    <row r="139" spans="1:13" x14ac:dyDescent="0.2">
      <c r="A139" s="514" t="e">
        <f t="shared" si="2"/>
        <v>#NUM!</v>
      </c>
      <c r="B139"/>
      <c r="C139"/>
      <c r="D139"/>
      <c r="E139"/>
      <c r="F139"/>
      <c r="G139"/>
      <c r="H139"/>
      <c r="I139"/>
      <c r="J139"/>
      <c r="K139"/>
      <c r="L139"/>
      <c r="M139" s="514"/>
    </row>
    <row r="140" spans="1:13" x14ac:dyDescent="0.2">
      <c r="A140" s="514" t="e">
        <f t="shared" si="2"/>
        <v>#NUM!</v>
      </c>
      <c r="B140"/>
      <c r="C140"/>
      <c r="D140"/>
      <c r="E140"/>
      <c r="F140"/>
      <c r="G140"/>
      <c r="H140"/>
      <c r="I140"/>
      <c r="J140"/>
      <c r="K140"/>
      <c r="L140"/>
      <c r="M140" s="514"/>
    </row>
    <row r="141" spans="1:13" x14ac:dyDescent="0.2">
      <c r="A141" s="514" t="e">
        <f t="shared" si="2"/>
        <v>#NUM!</v>
      </c>
      <c r="B141"/>
      <c r="C141"/>
      <c r="D141"/>
      <c r="E141"/>
      <c r="F141"/>
      <c r="G141"/>
      <c r="H141"/>
      <c r="I141"/>
      <c r="J141"/>
      <c r="K141"/>
      <c r="L141"/>
      <c r="M141" s="514"/>
    </row>
    <row r="142" spans="1:13" x14ac:dyDescent="0.2">
      <c r="A142" s="514" t="e">
        <f t="shared" si="2"/>
        <v>#NUM!</v>
      </c>
      <c r="B142"/>
      <c r="C142"/>
      <c r="D142"/>
      <c r="E142"/>
      <c r="F142"/>
      <c r="G142"/>
      <c r="H142"/>
      <c r="I142"/>
      <c r="J142"/>
      <c r="K142"/>
      <c r="L142"/>
      <c r="M142" s="514"/>
    </row>
    <row r="143" spans="1:13" x14ac:dyDescent="0.2">
      <c r="A143" s="514" t="e">
        <f t="shared" si="2"/>
        <v>#NUM!</v>
      </c>
      <c r="B143"/>
      <c r="C143"/>
      <c r="D143"/>
      <c r="E143"/>
      <c r="F143"/>
      <c r="G143"/>
      <c r="H143"/>
      <c r="I143"/>
      <c r="J143"/>
      <c r="K143"/>
      <c r="L143"/>
      <c r="M143" s="514"/>
    </row>
    <row r="144" spans="1:13" x14ac:dyDescent="0.2">
      <c r="A144" s="514" t="e">
        <f t="shared" si="2"/>
        <v>#NUM!</v>
      </c>
      <c r="B144"/>
      <c r="C144"/>
      <c r="D144"/>
      <c r="E144"/>
      <c r="F144"/>
      <c r="G144"/>
      <c r="H144"/>
      <c r="I144"/>
      <c r="J144"/>
      <c r="K144"/>
      <c r="L144"/>
      <c r="M144" s="514"/>
    </row>
    <row r="145" spans="1:13" x14ac:dyDescent="0.2">
      <c r="A145" s="514" t="e">
        <f t="shared" si="2"/>
        <v>#NUM!</v>
      </c>
      <c r="B145"/>
      <c r="C145"/>
      <c r="D145"/>
      <c r="E145"/>
      <c r="F145"/>
      <c r="G145"/>
      <c r="H145"/>
      <c r="I145"/>
      <c r="J145"/>
      <c r="K145"/>
      <c r="L145"/>
      <c r="M145" s="514"/>
    </row>
    <row r="146" spans="1:13" x14ac:dyDescent="0.2">
      <c r="A146" s="514" t="e">
        <f t="shared" si="2"/>
        <v>#NUM!</v>
      </c>
      <c r="B146"/>
      <c r="C146"/>
      <c r="D146"/>
      <c r="E146"/>
      <c r="F146"/>
      <c r="G146"/>
      <c r="H146"/>
      <c r="I146"/>
      <c r="J146"/>
      <c r="K146"/>
      <c r="L146"/>
      <c r="M146" s="514"/>
    </row>
    <row r="147" spans="1:13" x14ac:dyDescent="0.2">
      <c r="A147" s="514" t="e">
        <f t="shared" si="2"/>
        <v>#NUM!</v>
      </c>
      <c r="B147"/>
      <c r="C147"/>
      <c r="D147"/>
      <c r="E147"/>
      <c r="F147"/>
      <c r="G147"/>
      <c r="H147"/>
      <c r="I147"/>
      <c r="J147"/>
      <c r="K147"/>
      <c r="L147"/>
      <c r="M147" s="514"/>
    </row>
    <row r="148" spans="1:13" x14ac:dyDescent="0.2">
      <c r="A148" s="514" t="e">
        <f t="shared" si="2"/>
        <v>#NUM!</v>
      </c>
      <c r="B148"/>
      <c r="C148"/>
      <c r="D148"/>
      <c r="E148"/>
      <c r="F148"/>
      <c r="G148"/>
      <c r="H148"/>
      <c r="I148"/>
      <c r="J148"/>
      <c r="K148"/>
      <c r="L148"/>
      <c r="M148" s="514"/>
    </row>
    <row r="149" spans="1:13" x14ac:dyDescent="0.2">
      <c r="A149" s="514" t="e">
        <f t="shared" si="2"/>
        <v>#NUM!</v>
      </c>
      <c r="B149"/>
      <c r="C149"/>
      <c r="D149"/>
      <c r="E149"/>
      <c r="F149"/>
      <c r="G149"/>
      <c r="H149"/>
      <c r="I149"/>
      <c r="J149"/>
      <c r="K149"/>
      <c r="L149"/>
      <c r="M149" s="514"/>
    </row>
    <row r="150" spans="1:13" x14ac:dyDescent="0.2">
      <c r="A150" s="514" t="e">
        <f t="shared" si="2"/>
        <v>#NUM!</v>
      </c>
      <c r="B150"/>
      <c r="C150"/>
      <c r="D150"/>
      <c r="E150"/>
      <c r="F150"/>
      <c r="G150"/>
      <c r="H150"/>
      <c r="I150"/>
      <c r="J150"/>
      <c r="K150"/>
      <c r="L150"/>
      <c r="M150" s="514"/>
    </row>
    <row r="151" spans="1:13" x14ac:dyDescent="0.2">
      <c r="A151" s="514" t="e">
        <f t="shared" si="2"/>
        <v>#NUM!</v>
      </c>
      <c r="B151"/>
      <c r="C151"/>
      <c r="D151"/>
      <c r="E151"/>
      <c r="F151"/>
      <c r="G151"/>
      <c r="H151"/>
      <c r="I151"/>
      <c r="J151"/>
      <c r="K151"/>
      <c r="L151"/>
      <c r="M151" s="514"/>
    </row>
    <row r="152" spans="1:13" x14ac:dyDescent="0.2">
      <c r="A152" s="514" t="e">
        <f t="shared" si="2"/>
        <v>#NUM!</v>
      </c>
      <c r="B152"/>
      <c r="C152"/>
      <c r="D152"/>
      <c r="E152"/>
      <c r="F152"/>
      <c r="G152"/>
      <c r="H152"/>
      <c r="I152"/>
      <c r="J152"/>
      <c r="K152"/>
      <c r="L152"/>
      <c r="M152" s="514"/>
    </row>
    <row r="153" spans="1:13" x14ac:dyDescent="0.2">
      <c r="A153" s="514" t="e">
        <f t="shared" si="2"/>
        <v>#NUM!</v>
      </c>
      <c r="B153"/>
      <c r="C153"/>
      <c r="D153"/>
      <c r="E153"/>
      <c r="F153"/>
      <c r="G153"/>
      <c r="H153"/>
      <c r="I153"/>
      <c r="J153"/>
      <c r="K153"/>
      <c r="L153"/>
      <c r="M153" s="514"/>
    </row>
    <row r="154" spans="1:13" x14ac:dyDescent="0.2">
      <c r="A154" s="514" t="e">
        <f t="shared" si="2"/>
        <v>#NUM!</v>
      </c>
      <c r="B154"/>
      <c r="C154"/>
      <c r="D154"/>
      <c r="E154"/>
      <c r="F154"/>
      <c r="G154"/>
      <c r="H154"/>
      <c r="I154"/>
      <c r="J154"/>
      <c r="K154"/>
      <c r="L154"/>
      <c r="M154" s="514"/>
    </row>
    <row r="155" spans="1:13" x14ac:dyDescent="0.2">
      <c r="A155" s="514" t="e">
        <f t="shared" si="2"/>
        <v>#NUM!</v>
      </c>
      <c r="B155"/>
      <c r="C155"/>
      <c r="D155"/>
      <c r="E155"/>
      <c r="F155"/>
      <c r="G155"/>
      <c r="H155"/>
      <c r="I155"/>
      <c r="J155"/>
      <c r="K155"/>
      <c r="L155"/>
      <c r="M155" s="514"/>
    </row>
    <row r="156" spans="1:13" x14ac:dyDescent="0.2">
      <c r="A156" s="514" t="e">
        <f t="shared" si="2"/>
        <v>#NUM!</v>
      </c>
      <c r="B156"/>
      <c r="C156"/>
      <c r="D156"/>
      <c r="E156"/>
      <c r="F156"/>
      <c r="G156"/>
      <c r="H156"/>
      <c r="I156"/>
      <c r="J156"/>
      <c r="K156"/>
      <c r="L156"/>
      <c r="M156" s="514"/>
    </row>
    <row r="157" spans="1:13" x14ac:dyDescent="0.2">
      <c r="A157" s="514" t="e">
        <f t="shared" si="2"/>
        <v>#NUM!</v>
      </c>
      <c r="B157"/>
      <c r="C157"/>
      <c r="D157"/>
      <c r="E157"/>
      <c r="F157"/>
      <c r="G157"/>
      <c r="H157"/>
      <c r="I157"/>
      <c r="J157"/>
      <c r="K157"/>
      <c r="L157"/>
      <c r="M157" s="514"/>
    </row>
    <row r="158" spans="1:13" x14ac:dyDescent="0.2">
      <c r="A158" s="514" t="e">
        <f t="shared" si="2"/>
        <v>#NUM!</v>
      </c>
      <c r="B158"/>
      <c r="C158"/>
      <c r="D158"/>
      <c r="E158"/>
      <c r="F158"/>
      <c r="G158"/>
      <c r="H158"/>
      <c r="I158"/>
      <c r="J158"/>
      <c r="K158"/>
      <c r="L158"/>
      <c r="M158" s="514"/>
    </row>
    <row r="159" spans="1:13" x14ac:dyDescent="0.2">
      <c r="A159" s="514" t="e">
        <f t="shared" si="2"/>
        <v>#NUM!</v>
      </c>
      <c r="B159"/>
      <c r="C159"/>
      <c r="D159"/>
      <c r="E159"/>
      <c r="F159"/>
      <c r="G159"/>
      <c r="H159"/>
      <c r="I159"/>
      <c r="J159"/>
      <c r="K159"/>
      <c r="L159"/>
      <c r="M159" s="514"/>
    </row>
    <row r="160" spans="1:13" x14ac:dyDescent="0.2">
      <c r="A160" s="514" t="e">
        <f t="shared" si="2"/>
        <v>#NUM!</v>
      </c>
      <c r="B160"/>
      <c r="C160"/>
      <c r="D160"/>
      <c r="E160"/>
      <c r="F160"/>
      <c r="G160"/>
      <c r="H160"/>
      <c r="I160"/>
      <c r="J160"/>
      <c r="K160"/>
      <c r="L160"/>
      <c r="M160" s="514"/>
    </row>
    <row r="161" spans="1:13" x14ac:dyDescent="0.2">
      <c r="A161" s="514" t="e">
        <f t="shared" si="2"/>
        <v>#NUM!</v>
      </c>
      <c r="B161"/>
      <c r="C161"/>
      <c r="D161"/>
      <c r="E161"/>
      <c r="F161"/>
      <c r="G161"/>
      <c r="H161"/>
      <c r="I161"/>
      <c r="J161"/>
      <c r="K161"/>
      <c r="L161"/>
      <c r="M161" s="514"/>
    </row>
    <row r="162" spans="1:13" x14ac:dyDescent="0.2">
      <c r="A162" s="514" t="e">
        <f t="shared" si="2"/>
        <v>#NUM!</v>
      </c>
      <c r="B162"/>
      <c r="C162"/>
      <c r="D162"/>
      <c r="E162"/>
      <c r="F162"/>
      <c r="G162"/>
      <c r="H162"/>
      <c r="I162"/>
      <c r="J162"/>
      <c r="K162"/>
      <c r="L162"/>
      <c r="M162" s="514"/>
    </row>
    <row r="163" spans="1:13" x14ac:dyDescent="0.2">
      <c r="A163" s="514" t="e">
        <f t="shared" si="2"/>
        <v>#NUM!</v>
      </c>
      <c r="B163" s="515"/>
      <c r="C163" s="515"/>
      <c r="D163" s="515"/>
      <c r="E163" s="515"/>
      <c r="F163" s="515"/>
      <c r="G163" s="515"/>
      <c r="H163" s="515"/>
      <c r="I163" s="515"/>
      <c r="J163" s="515"/>
      <c r="K163" s="515"/>
      <c r="L163" s="515"/>
      <c r="M163" s="514"/>
    </row>
    <row r="164" spans="1:13" x14ac:dyDescent="0.2">
      <c r="A164" s="514" t="e">
        <f t="shared" si="2"/>
        <v>#NUM!</v>
      </c>
      <c r="B164" s="515"/>
      <c r="C164" s="515"/>
      <c r="D164" s="515"/>
      <c r="E164" s="515"/>
      <c r="F164" s="515"/>
      <c r="G164" s="515"/>
      <c r="H164" s="515"/>
      <c r="I164" s="515"/>
      <c r="J164" s="515"/>
      <c r="K164" s="515"/>
      <c r="L164" s="515"/>
      <c r="M164" s="514"/>
    </row>
    <row r="165" spans="1:13" x14ac:dyDescent="0.2">
      <c r="A165" s="514" t="e">
        <f t="shared" si="2"/>
        <v>#NUM!</v>
      </c>
      <c r="B165" s="515"/>
      <c r="C165" s="515"/>
      <c r="D165" s="515"/>
      <c r="E165" s="515"/>
      <c r="F165" s="515"/>
      <c r="G165" s="515"/>
      <c r="H165" s="515"/>
      <c r="I165" s="515"/>
      <c r="J165" s="515"/>
      <c r="K165" s="515"/>
      <c r="L165" s="515"/>
      <c r="M165" s="514"/>
    </row>
    <row r="166" spans="1:13" x14ac:dyDescent="0.2">
      <c r="A166" s="514" t="e">
        <f t="shared" si="2"/>
        <v>#NUM!</v>
      </c>
      <c r="B166" s="515"/>
      <c r="C166" s="515"/>
      <c r="D166" s="515"/>
      <c r="E166" s="515"/>
      <c r="F166" s="515"/>
      <c r="G166" s="515"/>
      <c r="H166" s="515"/>
      <c r="I166" s="515"/>
      <c r="J166" s="515"/>
      <c r="K166" s="515"/>
      <c r="L166" s="515"/>
      <c r="M166" s="514"/>
    </row>
    <row r="167" spans="1:13" x14ac:dyDescent="0.2">
      <c r="A167" s="514" t="e">
        <f t="shared" si="2"/>
        <v>#NUM!</v>
      </c>
      <c r="B167" s="515"/>
      <c r="C167" s="515"/>
      <c r="D167" s="515"/>
      <c r="E167" s="515"/>
      <c r="F167" s="515"/>
      <c r="G167" s="515"/>
      <c r="H167" s="515"/>
      <c r="I167" s="515"/>
      <c r="J167" s="515"/>
      <c r="K167" s="515"/>
      <c r="L167" s="515"/>
      <c r="M167" s="514"/>
    </row>
    <row r="168" spans="1:13" x14ac:dyDescent="0.2">
      <c r="A168" s="514" t="e">
        <f t="shared" si="2"/>
        <v>#NUM!</v>
      </c>
      <c r="B168" s="515"/>
      <c r="C168" s="515"/>
      <c r="D168" s="515"/>
      <c r="E168" s="515"/>
      <c r="F168" s="515"/>
      <c r="G168" s="515"/>
      <c r="H168" s="515"/>
      <c r="I168" s="515"/>
      <c r="J168" s="515"/>
      <c r="K168" s="515"/>
      <c r="L168" s="515"/>
      <c r="M168" s="514"/>
    </row>
    <row r="169" spans="1:13" x14ac:dyDescent="0.2">
      <c r="A169" s="514" t="e">
        <f t="shared" si="2"/>
        <v>#NUM!</v>
      </c>
      <c r="B169" s="515"/>
      <c r="C169" s="515"/>
      <c r="D169" s="515"/>
      <c r="E169" s="515"/>
      <c r="F169" s="515"/>
      <c r="G169" s="515"/>
      <c r="H169" s="515"/>
      <c r="I169" s="515"/>
      <c r="J169" s="515"/>
      <c r="K169" s="515"/>
      <c r="L169" s="515"/>
      <c r="M169" s="514"/>
    </row>
    <row r="170" spans="1:13" x14ac:dyDescent="0.2">
      <c r="A170" s="514" t="e">
        <f t="shared" si="2"/>
        <v>#NUM!</v>
      </c>
      <c r="B170" s="515"/>
      <c r="C170" s="515"/>
      <c r="D170" s="515"/>
      <c r="E170" s="515"/>
      <c r="F170" s="515"/>
      <c r="G170" s="515"/>
      <c r="H170" s="515"/>
      <c r="I170" s="515"/>
      <c r="J170" s="515"/>
      <c r="K170" s="515"/>
      <c r="L170" s="515"/>
      <c r="M170" s="514"/>
    </row>
    <row r="171" spans="1:13" x14ac:dyDescent="0.2">
      <c r="A171" s="514" t="e">
        <f t="shared" si="2"/>
        <v>#NUM!</v>
      </c>
      <c r="B171" s="515"/>
      <c r="C171" s="515"/>
      <c r="D171" s="515"/>
      <c r="E171" s="515"/>
      <c r="F171" s="515"/>
      <c r="G171" s="515"/>
      <c r="H171" s="515"/>
      <c r="I171" s="515"/>
      <c r="J171" s="515"/>
      <c r="K171" s="515"/>
      <c r="L171" s="515"/>
      <c r="M171" s="514"/>
    </row>
    <row r="172" spans="1:13" x14ac:dyDescent="0.2">
      <c r="A172" s="514" t="e">
        <f t="shared" si="2"/>
        <v>#NUM!</v>
      </c>
      <c r="B172" s="515"/>
      <c r="C172" s="515"/>
      <c r="D172" s="515"/>
      <c r="E172" s="515"/>
      <c r="F172" s="515"/>
      <c r="G172" s="515"/>
      <c r="H172" s="515"/>
      <c r="I172" s="515"/>
      <c r="J172" s="515"/>
      <c r="K172" s="515"/>
      <c r="L172" s="515"/>
      <c r="M172" s="514"/>
    </row>
    <row r="173" spans="1:13" x14ac:dyDescent="0.2">
      <c r="A173" s="514" t="e">
        <f t="shared" si="2"/>
        <v>#NUM!</v>
      </c>
      <c r="B173" s="515"/>
      <c r="C173" s="515"/>
      <c r="D173" s="515"/>
      <c r="E173" s="515"/>
      <c r="F173" s="515"/>
      <c r="G173" s="515"/>
      <c r="H173" s="515"/>
      <c r="I173" s="515"/>
      <c r="J173" s="515"/>
      <c r="K173" s="515"/>
      <c r="L173" s="515"/>
      <c r="M173" s="514"/>
    </row>
    <row r="174" spans="1:13" x14ac:dyDescent="0.2">
      <c r="A174" s="514" t="e">
        <f t="shared" si="2"/>
        <v>#NUM!</v>
      </c>
      <c r="M174" s="514"/>
    </row>
    <row r="175" spans="1:13" x14ac:dyDescent="0.2">
      <c r="A175" s="514" t="e">
        <f t="shared" si="2"/>
        <v>#NUM!</v>
      </c>
      <c r="M175" s="514"/>
    </row>
    <row r="176" spans="1:13" x14ac:dyDescent="0.2">
      <c r="A176" s="514" t="e">
        <f t="shared" si="2"/>
        <v>#NUM!</v>
      </c>
      <c r="M176" s="514"/>
    </row>
    <row r="177" spans="1:13" x14ac:dyDescent="0.2">
      <c r="A177" s="514" t="e">
        <f t="shared" si="2"/>
        <v>#NUM!</v>
      </c>
      <c r="M177" s="514"/>
    </row>
    <row r="178" spans="1:13" x14ac:dyDescent="0.2">
      <c r="A178" s="514" t="e">
        <f t="shared" si="2"/>
        <v>#NUM!</v>
      </c>
      <c r="M178" s="514"/>
    </row>
    <row r="179" spans="1:13" x14ac:dyDescent="0.2">
      <c r="A179" s="514" t="e">
        <f t="shared" si="2"/>
        <v>#NUM!</v>
      </c>
      <c r="M179" s="514"/>
    </row>
    <row r="180" spans="1:13" x14ac:dyDescent="0.2">
      <c r="A180" s="514" t="e">
        <f t="shared" si="2"/>
        <v>#NUM!</v>
      </c>
      <c r="M180" s="514"/>
    </row>
    <row r="181" spans="1:13" x14ac:dyDescent="0.2">
      <c r="A181" s="514" t="e">
        <f t="shared" si="2"/>
        <v>#NUM!</v>
      </c>
      <c r="M181" s="514"/>
    </row>
    <row r="182" spans="1:13" x14ac:dyDescent="0.2">
      <c r="A182" s="514" t="e">
        <f t="shared" si="2"/>
        <v>#NUM!</v>
      </c>
      <c r="M182" s="514"/>
    </row>
    <row r="183" spans="1:13" x14ac:dyDescent="0.2">
      <c r="A183" s="514" t="e">
        <f t="shared" si="2"/>
        <v>#NUM!</v>
      </c>
      <c r="M183" s="514"/>
    </row>
    <row r="184" spans="1:13" x14ac:dyDescent="0.2">
      <c r="A184" s="514" t="e">
        <f t="shared" si="2"/>
        <v>#NUM!</v>
      </c>
      <c r="M184" s="514"/>
    </row>
    <row r="185" spans="1:13" x14ac:dyDescent="0.2">
      <c r="A185" s="514" t="e">
        <f t="shared" si="2"/>
        <v>#NUM!</v>
      </c>
      <c r="M185" s="514"/>
    </row>
    <row r="186" spans="1:13" x14ac:dyDescent="0.2">
      <c r="A186" s="514" t="e">
        <f t="shared" si="2"/>
        <v>#NUM!</v>
      </c>
      <c r="M186" s="514"/>
    </row>
    <row r="187" spans="1:13" x14ac:dyDescent="0.2">
      <c r="A187" s="514" t="e">
        <f t="shared" si="2"/>
        <v>#NUM!</v>
      </c>
      <c r="M187" s="514"/>
    </row>
    <row r="188" spans="1:13" x14ac:dyDescent="0.2">
      <c r="A188" s="514" t="e">
        <f t="shared" si="2"/>
        <v>#NUM!</v>
      </c>
      <c r="M188" s="514"/>
    </row>
    <row r="189" spans="1:13" x14ac:dyDescent="0.2">
      <c r="A189" s="514" t="e">
        <f t="shared" si="2"/>
        <v>#NUM!</v>
      </c>
      <c r="M189" s="514"/>
    </row>
    <row r="190" spans="1:13" x14ac:dyDescent="0.2">
      <c r="A190" s="514" t="e">
        <f t="shared" si="2"/>
        <v>#NUM!</v>
      </c>
      <c r="M190" s="514"/>
    </row>
    <row r="191" spans="1:13" x14ac:dyDescent="0.2">
      <c r="A191" s="514" t="e">
        <f t="shared" si="2"/>
        <v>#NUM!</v>
      </c>
      <c r="M191" s="514"/>
    </row>
    <row r="192" spans="1:13" x14ac:dyDescent="0.2">
      <c r="A192" s="514" t="e">
        <f t="shared" si="2"/>
        <v>#NUM!</v>
      </c>
      <c r="M192" s="514"/>
    </row>
    <row r="193" spans="1:13" x14ac:dyDescent="0.2">
      <c r="A193" s="514" t="e">
        <f t="shared" si="2"/>
        <v>#NUM!</v>
      </c>
      <c r="M193" s="514"/>
    </row>
    <row r="194" spans="1:13" x14ac:dyDescent="0.2">
      <c r="A194" s="514" t="e">
        <f t="shared" si="2"/>
        <v>#NUM!</v>
      </c>
      <c r="M194" s="514"/>
    </row>
    <row r="195" spans="1:13" x14ac:dyDescent="0.2">
      <c r="A195" s="514" t="e">
        <f t="shared" si="2"/>
        <v>#NUM!</v>
      </c>
      <c r="M195" s="514"/>
    </row>
    <row r="196" spans="1:13" x14ac:dyDescent="0.2">
      <c r="A196" s="514" t="e">
        <f t="shared" si="2"/>
        <v>#NUM!</v>
      </c>
      <c r="M196" s="514"/>
    </row>
    <row r="197" spans="1:13" x14ac:dyDescent="0.2">
      <c r="A197" s="514" t="e">
        <f t="shared" si="2"/>
        <v>#NUM!</v>
      </c>
      <c r="M197" s="514"/>
    </row>
    <row r="198" spans="1:13" x14ac:dyDescent="0.2">
      <c r="A198" s="514" t="e">
        <f t="shared" ref="A198:A218" si="3">DATE(F198,G198,H198)</f>
        <v>#NUM!</v>
      </c>
      <c r="M198" s="514"/>
    </row>
    <row r="199" spans="1:13" x14ac:dyDescent="0.2">
      <c r="A199" s="514" t="e">
        <f t="shared" si="3"/>
        <v>#NUM!</v>
      </c>
      <c r="M199" s="514"/>
    </row>
    <row r="200" spans="1:13" x14ac:dyDescent="0.2">
      <c r="A200" s="514" t="e">
        <f t="shared" si="3"/>
        <v>#NUM!</v>
      </c>
      <c r="M200" s="514"/>
    </row>
    <row r="201" spans="1:13" x14ac:dyDescent="0.2">
      <c r="A201" s="514" t="e">
        <f t="shared" si="3"/>
        <v>#NUM!</v>
      </c>
      <c r="M201" s="514"/>
    </row>
    <row r="202" spans="1:13" x14ac:dyDescent="0.2">
      <c r="A202" s="514" t="e">
        <f t="shared" si="3"/>
        <v>#NUM!</v>
      </c>
      <c r="M202" s="514"/>
    </row>
    <row r="203" spans="1:13" x14ac:dyDescent="0.2">
      <c r="A203" s="514" t="e">
        <f t="shared" si="3"/>
        <v>#NUM!</v>
      </c>
      <c r="M203" s="514"/>
    </row>
    <row r="204" spans="1:13" x14ac:dyDescent="0.2">
      <c r="A204" s="514" t="e">
        <f t="shared" si="3"/>
        <v>#NUM!</v>
      </c>
      <c r="M204" s="514"/>
    </row>
    <row r="205" spans="1:13" x14ac:dyDescent="0.2">
      <c r="A205" s="514" t="e">
        <f t="shared" si="3"/>
        <v>#NUM!</v>
      </c>
      <c r="M205" s="514"/>
    </row>
    <row r="206" spans="1:13" x14ac:dyDescent="0.2">
      <c r="A206" s="514" t="e">
        <f t="shared" si="3"/>
        <v>#NUM!</v>
      </c>
      <c r="M206" s="514"/>
    </row>
    <row r="207" spans="1:13" x14ac:dyDescent="0.2">
      <c r="A207" s="514" t="e">
        <f t="shared" si="3"/>
        <v>#NUM!</v>
      </c>
      <c r="M207" s="514"/>
    </row>
    <row r="208" spans="1:13" x14ac:dyDescent="0.2">
      <c r="A208" s="514" t="e">
        <f t="shared" si="3"/>
        <v>#NUM!</v>
      </c>
      <c r="M208" s="514"/>
    </row>
    <row r="209" spans="1:13" x14ac:dyDescent="0.2">
      <c r="A209" s="514" t="e">
        <f t="shared" si="3"/>
        <v>#NUM!</v>
      </c>
      <c r="M209" s="514"/>
    </row>
    <row r="210" spans="1:13" x14ac:dyDescent="0.2">
      <c r="A210" s="514" t="e">
        <f t="shared" si="3"/>
        <v>#NUM!</v>
      </c>
      <c r="M210" s="514"/>
    </row>
    <row r="211" spans="1:13" x14ac:dyDescent="0.2">
      <c r="A211" s="514" t="e">
        <f t="shared" si="3"/>
        <v>#NUM!</v>
      </c>
      <c r="M211" s="514"/>
    </row>
    <row r="212" spans="1:13" x14ac:dyDescent="0.2">
      <c r="A212" s="514" t="e">
        <f t="shared" si="3"/>
        <v>#NUM!</v>
      </c>
      <c r="M212" s="514"/>
    </row>
    <row r="213" spans="1:13" x14ac:dyDescent="0.2">
      <c r="A213" s="514" t="e">
        <f t="shared" si="3"/>
        <v>#NUM!</v>
      </c>
      <c r="M213" s="514"/>
    </row>
    <row r="214" spans="1:13" x14ac:dyDescent="0.2">
      <c r="A214" s="514" t="e">
        <f t="shared" si="3"/>
        <v>#NUM!</v>
      </c>
      <c r="M214" s="514"/>
    </row>
    <row r="215" spans="1:13" x14ac:dyDescent="0.2">
      <c r="A215" s="514" t="e">
        <f t="shared" si="3"/>
        <v>#NUM!</v>
      </c>
      <c r="M215" s="514"/>
    </row>
    <row r="216" spans="1:13" x14ac:dyDescent="0.2">
      <c r="A216" s="514" t="e">
        <f t="shared" si="3"/>
        <v>#NUM!</v>
      </c>
      <c r="M216" s="514"/>
    </row>
    <row r="217" spans="1:13" x14ac:dyDescent="0.2">
      <c r="A217" s="514" t="e">
        <f t="shared" si="3"/>
        <v>#NUM!</v>
      </c>
      <c r="M217" s="514"/>
    </row>
    <row r="218" spans="1:13" x14ac:dyDescent="0.2">
      <c r="A218" s="514" t="e">
        <f t="shared" si="3"/>
        <v>#NUM!</v>
      </c>
      <c r="M218" s="514"/>
    </row>
    <row r="219" spans="1:13" x14ac:dyDescent="0.2">
      <c r="M219" s="514"/>
    </row>
    <row r="220" spans="1:13" x14ac:dyDescent="0.2">
      <c r="M220" s="514"/>
    </row>
    <row r="221" spans="1:13" x14ac:dyDescent="0.2">
      <c r="M221" s="514"/>
    </row>
    <row r="222" spans="1:13" x14ac:dyDescent="0.2">
      <c r="M222" s="514"/>
    </row>
    <row r="223" spans="1:13" x14ac:dyDescent="0.2">
      <c r="M223" s="514"/>
    </row>
    <row r="224" spans="1:13" x14ac:dyDescent="0.2">
      <c r="M224" s="514"/>
    </row>
    <row r="225" spans="13:13" x14ac:dyDescent="0.2">
      <c r="M225" s="514"/>
    </row>
    <row r="226" spans="13:13" x14ac:dyDescent="0.2">
      <c r="M226" s="514"/>
    </row>
    <row r="227" spans="13:13" x14ac:dyDescent="0.2">
      <c r="M227" s="514"/>
    </row>
    <row r="228" spans="13:13" x14ac:dyDescent="0.2">
      <c r="M228" s="514"/>
    </row>
    <row r="229" spans="13:13" x14ac:dyDescent="0.2">
      <c r="M229" s="514"/>
    </row>
    <row r="230" spans="13:13" x14ac:dyDescent="0.2">
      <c r="M230" s="514"/>
    </row>
    <row r="231" spans="13:13" x14ac:dyDescent="0.2">
      <c r="M231" s="514"/>
    </row>
    <row r="232" spans="13:13" x14ac:dyDescent="0.2">
      <c r="M232" s="514"/>
    </row>
    <row r="233" spans="13:13" x14ac:dyDescent="0.2">
      <c r="M233" s="514"/>
    </row>
    <row r="234" spans="13:13" x14ac:dyDescent="0.2">
      <c r="M234" s="514"/>
    </row>
    <row r="235" spans="13:13" x14ac:dyDescent="0.2">
      <c r="M235" s="514"/>
    </row>
    <row r="236" spans="13:13" x14ac:dyDescent="0.2">
      <c r="M236" s="514"/>
    </row>
    <row r="237" spans="13:13" x14ac:dyDescent="0.2">
      <c r="M237" s="514"/>
    </row>
  </sheetData>
  <sheetProtection selectLockedCells="1"/>
  <pageMargins left="0.7" right="0.7" top="0.75" bottom="0.75" header="0.3" footer="0.3"/>
  <pageSetup orientation="portrait" r:id="rId1"/>
  <headerFooter>
    <oddFooter>&amp;L&amp;"-,Regular"&amp;6Ver. 1.0
&amp;F
&amp;Z&amp;F&amp;C&amp;"-,Regular"&amp;8North Dakota NRCS IWM Certifiation Form
NDAWN Data
&amp;R&amp;"-,Regular"&amp;8&amp;D
&amp;T</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8" tint="0.59999389629810485"/>
    <pageSetUpPr fitToPage="1"/>
  </sheetPr>
  <dimension ref="A1:AQ510"/>
  <sheetViews>
    <sheetView zoomScale="81" zoomScaleNormal="81" workbookViewId="0">
      <selection activeCell="D3" sqref="D3"/>
    </sheetView>
  </sheetViews>
  <sheetFormatPr defaultColWidth="8.85546875" defaultRowHeight="12.75" x14ac:dyDescent="0.2"/>
  <cols>
    <col min="1" max="1" width="16.5703125" style="162" customWidth="1"/>
    <col min="2" max="2" width="7.85546875" style="162" customWidth="1"/>
    <col min="3" max="3" width="10.85546875" style="162" customWidth="1"/>
    <col min="4" max="4" width="12.5703125" style="162" customWidth="1"/>
    <col min="5" max="5" width="8.28515625" style="162" customWidth="1"/>
    <col min="6" max="6" width="9.140625" style="162" customWidth="1"/>
    <col min="7" max="7" width="10.140625" style="162" customWidth="1"/>
    <col min="8" max="8" width="24.5703125" style="162" customWidth="1"/>
    <col min="9" max="9" width="9.7109375" style="162" customWidth="1"/>
    <col min="10" max="10" width="11.5703125" style="162" customWidth="1"/>
    <col min="11" max="11" width="13.28515625" style="162" bestFit="1" customWidth="1"/>
    <col min="12" max="12" width="8.85546875" style="162" customWidth="1"/>
    <col min="13" max="13" width="9.5703125" style="162" customWidth="1"/>
    <col min="14" max="14" width="9.28515625" style="162" customWidth="1"/>
    <col min="15" max="15" width="26.5703125" style="54" customWidth="1"/>
    <col min="16" max="16" width="1" style="54" customWidth="1"/>
    <col min="17" max="17" width="4" style="162" customWidth="1"/>
    <col min="18" max="18" width="7.42578125" style="162" customWidth="1"/>
    <col min="19" max="19" width="11.7109375" style="162" customWidth="1"/>
    <col min="20" max="20" width="12.28515625" style="162" customWidth="1"/>
    <col min="21" max="21" width="10.28515625" style="162" customWidth="1"/>
    <col min="22" max="22" width="9.28515625" style="162" customWidth="1"/>
    <col min="23" max="23" width="13.7109375" style="162" customWidth="1"/>
    <col min="24" max="24" width="15.7109375" style="162" customWidth="1"/>
    <col min="25" max="25" width="8.28515625" style="162" customWidth="1"/>
    <col min="26" max="26" width="11.28515625" style="162" customWidth="1"/>
    <col min="27" max="27" width="13.28515625" style="162" bestFit="1" customWidth="1"/>
    <col min="28" max="28" width="9.7109375" style="162" customWidth="1"/>
    <col min="29" max="29" width="8.85546875" style="162" customWidth="1"/>
    <col min="30" max="30" width="14.7109375" style="162" customWidth="1"/>
    <col min="31" max="31" width="27.42578125" style="162" customWidth="1"/>
    <col min="32" max="32" width="8.85546875" style="162"/>
    <col min="33" max="37" width="9.140625" style="162" customWidth="1"/>
    <col min="38" max="39" width="9.140625" style="162" hidden="1" customWidth="1"/>
    <col min="40" max="41" width="0" style="162" hidden="1" customWidth="1"/>
    <col min="42" max="42" width="27.28515625" style="162" hidden="1" customWidth="1"/>
    <col min="43" max="43" width="0" style="162" hidden="1" customWidth="1"/>
    <col min="44" max="16384" width="8.85546875" style="162"/>
  </cols>
  <sheetData>
    <row r="1" spans="1:43" ht="23.25" x14ac:dyDescent="0.35">
      <c r="A1" s="95"/>
      <c r="B1" s="95"/>
      <c r="C1" s="95"/>
      <c r="D1" s="95"/>
      <c r="E1" s="546">
        <f>J5</f>
        <v>0</v>
      </c>
      <c r="F1" s="546"/>
      <c r="G1" s="381" t="s">
        <v>186</v>
      </c>
      <c r="H1" s="95"/>
      <c r="I1" s="95"/>
      <c r="J1" s="95"/>
      <c r="K1" s="95"/>
      <c r="L1" s="95"/>
      <c r="M1" s="95"/>
      <c r="N1" s="95"/>
      <c r="O1" s="105"/>
      <c r="Q1" s="54"/>
      <c r="R1" s="382"/>
      <c r="S1" s="382"/>
      <c r="T1" s="547">
        <f>E1</f>
        <v>0</v>
      </c>
      <c r="U1" s="547"/>
      <c r="V1" s="383" t="s">
        <v>147</v>
      </c>
      <c r="W1" s="382"/>
      <c r="X1" s="382"/>
      <c r="Y1" s="382"/>
      <c r="Z1" s="382"/>
      <c r="AA1" s="382"/>
      <c r="AB1" s="382"/>
      <c r="AC1" s="382"/>
      <c r="AD1" s="382"/>
      <c r="AE1" s="382"/>
    </row>
    <row r="2" spans="1:43" ht="15.75" x14ac:dyDescent="0.25">
      <c r="A2" s="95"/>
      <c r="B2" s="95"/>
      <c r="C2" s="95"/>
      <c r="D2" s="95"/>
      <c r="E2" s="95"/>
      <c r="F2" s="95"/>
      <c r="G2" s="95"/>
      <c r="H2" s="95"/>
      <c r="I2" s="95"/>
      <c r="J2" s="95"/>
      <c r="K2" s="384"/>
      <c r="L2" s="95"/>
      <c r="M2" s="95"/>
      <c r="N2" s="95"/>
      <c r="O2" s="105"/>
      <c r="Q2" s="54"/>
      <c r="R2" s="108"/>
      <c r="S2" s="108"/>
      <c r="T2" s="108"/>
      <c r="U2" s="108"/>
      <c r="V2" s="108"/>
      <c r="W2" s="108"/>
      <c r="X2" s="382"/>
      <c r="Y2" s="108"/>
      <c r="Z2" s="108"/>
      <c r="AA2" s="108"/>
      <c r="AB2" s="385"/>
      <c r="AC2" s="108"/>
      <c r="AD2" s="108"/>
      <c r="AE2" s="108"/>
    </row>
    <row r="3" spans="1:43" ht="15.75" x14ac:dyDescent="0.25">
      <c r="A3" s="99"/>
      <c r="B3" s="95"/>
      <c r="C3" s="100" t="s">
        <v>10</v>
      </c>
      <c r="D3" s="96">
        <f>+'General Information'!C1</f>
        <v>0</v>
      </c>
      <c r="E3" s="99"/>
      <c r="F3" s="99"/>
      <c r="G3" s="99"/>
      <c r="H3" s="99"/>
      <c r="I3" s="99"/>
      <c r="J3" s="99"/>
      <c r="K3" s="99"/>
      <c r="L3" s="99"/>
      <c r="M3" s="99"/>
      <c r="N3" s="386"/>
      <c r="O3" s="105"/>
      <c r="Q3" s="54"/>
      <c r="R3" s="108"/>
      <c r="S3" s="108"/>
      <c r="T3" s="112" t="s">
        <v>10</v>
      </c>
      <c r="U3" s="109">
        <f>+'General Information'!C1</f>
        <v>0</v>
      </c>
      <c r="V3" s="108"/>
      <c r="W3" s="108"/>
      <c r="X3" s="108"/>
      <c r="Y3" s="108"/>
      <c r="Z3" s="108"/>
      <c r="AA3" s="108"/>
      <c r="AB3" s="108"/>
      <c r="AC3" s="108"/>
      <c r="AD3" s="108"/>
      <c r="AE3" s="387"/>
    </row>
    <row r="4" spans="1:43" x14ac:dyDescent="0.2">
      <c r="A4" s="99"/>
      <c r="B4" s="95"/>
      <c r="C4" s="100" t="s">
        <v>234</v>
      </c>
      <c r="D4" s="94" t="str">
        <f>IF('General Information'!C4="","",'General Information'!C4)</f>
        <v/>
      </c>
      <c r="E4" s="99"/>
      <c r="F4" s="99"/>
      <c r="G4" s="100"/>
      <c r="H4" s="96"/>
      <c r="I4" s="99"/>
      <c r="J4" s="99"/>
      <c r="K4" s="99"/>
      <c r="L4" s="99"/>
      <c r="M4" s="99"/>
      <c r="N4" s="95"/>
      <c r="O4" s="105"/>
      <c r="Q4" s="54"/>
      <c r="R4" s="108"/>
      <c r="S4" s="108"/>
      <c r="T4" s="112" t="s">
        <v>234</v>
      </c>
      <c r="U4" s="107" t="str">
        <f>D4</f>
        <v/>
      </c>
      <c r="V4" s="108"/>
      <c r="W4" s="108"/>
      <c r="X4" s="108"/>
      <c r="Y4" s="112"/>
      <c r="Z4" s="109"/>
      <c r="AA4" s="108"/>
      <c r="AB4" s="108"/>
      <c r="AC4" s="108"/>
      <c r="AD4" s="108"/>
      <c r="AE4" s="108"/>
    </row>
    <row r="5" spans="1:43" x14ac:dyDescent="0.2">
      <c r="A5" s="99"/>
      <c r="B5" s="95"/>
      <c r="C5" s="100" t="s">
        <v>5</v>
      </c>
      <c r="D5" s="96">
        <f>+'General Information'!C15</f>
        <v>0</v>
      </c>
      <c r="E5" s="97"/>
      <c r="F5" s="99"/>
      <c r="G5" s="99"/>
      <c r="H5" s="99"/>
      <c r="I5" s="100" t="s">
        <v>6</v>
      </c>
      <c r="J5" s="388">
        <f>IF('General Information'!C16="",0,'General Information'!C16)</f>
        <v>0</v>
      </c>
      <c r="K5" s="99"/>
      <c r="L5" s="99"/>
      <c r="M5" s="99"/>
      <c r="N5" s="95"/>
      <c r="O5" s="105"/>
      <c r="Q5" s="54"/>
      <c r="R5" s="108"/>
      <c r="S5" s="108"/>
      <c r="T5" s="112" t="s">
        <v>5</v>
      </c>
      <c r="U5" s="109">
        <f>+'General Information'!C15</f>
        <v>0</v>
      </c>
      <c r="V5" s="110"/>
      <c r="W5" s="108"/>
      <c r="X5" s="108"/>
      <c r="Y5" s="108"/>
      <c r="Z5" s="112" t="s">
        <v>6</v>
      </c>
      <c r="AA5" s="389">
        <f>+'General Information'!C16</f>
        <v>0</v>
      </c>
      <c r="AB5" s="108"/>
      <c r="AC5" s="108"/>
      <c r="AD5" s="108"/>
      <c r="AE5" s="108"/>
    </row>
    <row r="6" spans="1:43" x14ac:dyDescent="0.2">
      <c r="A6" s="99"/>
      <c r="B6" s="95"/>
      <c r="C6" s="100" t="s">
        <v>172</v>
      </c>
      <c r="D6" s="98">
        <f>+'General Information'!C7</f>
        <v>0</v>
      </c>
      <c r="E6" s="99"/>
      <c r="F6" s="99"/>
      <c r="G6" s="99"/>
      <c r="H6" s="99"/>
      <c r="I6" s="100" t="s">
        <v>62</v>
      </c>
      <c r="J6" s="390">
        <f>+'General Information'!C10</f>
        <v>0</v>
      </c>
      <c r="K6" s="99" t="s">
        <v>9</v>
      </c>
      <c r="L6" s="99"/>
      <c r="M6" s="99"/>
      <c r="N6" s="95"/>
      <c r="O6" s="105"/>
      <c r="Q6" s="54"/>
      <c r="R6" s="108"/>
      <c r="S6" s="108"/>
      <c r="T6" s="112" t="s">
        <v>172</v>
      </c>
      <c r="U6" s="111">
        <f>+'General Information'!C7</f>
        <v>0</v>
      </c>
      <c r="V6" s="108"/>
      <c r="W6" s="108"/>
      <c r="X6" s="108"/>
      <c r="Y6" s="108"/>
      <c r="Z6" s="112" t="s">
        <v>62</v>
      </c>
      <c r="AA6" s="391">
        <f>+'General Information'!C10</f>
        <v>0</v>
      </c>
      <c r="AB6" s="108" t="s">
        <v>9</v>
      </c>
      <c r="AC6" s="108"/>
      <c r="AD6" s="108"/>
      <c r="AE6" s="108"/>
    </row>
    <row r="7" spans="1:43" x14ac:dyDescent="0.2">
      <c r="A7" s="100"/>
      <c r="B7" s="95"/>
      <c r="C7" s="100" t="s">
        <v>7</v>
      </c>
      <c r="D7" s="98">
        <f>+'General Information'!C12</f>
        <v>0</v>
      </c>
      <c r="E7" s="99" t="s">
        <v>14</v>
      </c>
      <c r="F7" s="99"/>
      <c r="G7" s="99"/>
      <c r="H7" s="99"/>
      <c r="I7" s="100" t="s">
        <v>8</v>
      </c>
      <c r="J7" s="392">
        <f>+J6*('General Information'!C8/100)</f>
        <v>0</v>
      </c>
      <c r="K7" s="99" t="s">
        <v>9</v>
      </c>
      <c r="L7" s="99"/>
      <c r="M7" s="99"/>
      <c r="N7" s="95"/>
      <c r="O7" s="105"/>
      <c r="Q7" s="54"/>
      <c r="R7" s="393"/>
      <c r="S7" s="108"/>
      <c r="T7" s="112" t="s">
        <v>7</v>
      </c>
      <c r="U7" s="111">
        <f>+'General Information'!C12</f>
        <v>0</v>
      </c>
      <c r="V7" s="108" t="s">
        <v>14</v>
      </c>
      <c r="W7" s="108"/>
      <c r="X7" s="108"/>
      <c r="Y7" s="108"/>
      <c r="Z7" s="112" t="s">
        <v>8</v>
      </c>
      <c r="AA7" s="394">
        <f>+AA6*('General Information'!C8/100)</f>
        <v>0</v>
      </c>
      <c r="AB7" s="108" t="s">
        <v>9</v>
      </c>
      <c r="AC7" s="108"/>
      <c r="AD7" s="108"/>
      <c r="AE7" s="108"/>
    </row>
    <row r="8" spans="1:43" x14ac:dyDescent="0.2">
      <c r="A8" s="99"/>
      <c r="B8" s="95"/>
      <c r="C8" s="100" t="s">
        <v>148</v>
      </c>
      <c r="D8" s="101" t="str">
        <f>'General Information'!$C$17</f>
        <v/>
      </c>
      <c r="E8" s="99" t="s">
        <v>9</v>
      </c>
      <c r="F8" s="99"/>
      <c r="G8" s="99"/>
      <c r="H8" s="99"/>
      <c r="I8" s="100" t="s">
        <v>73</v>
      </c>
      <c r="J8" s="101">
        <f>'General Information'!$C$18</f>
        <v>0</v>
      </c>
      <c r="K8" s="99" t="s">
        <v>9</v>
      </c>
      <c r="L8" s="99"/>
      <c r="M8" s="99"/>
      <c r="N8" s="95"/>
      <c r="O8" s="105"/>
      <c r="Q8" s="54"/>
      <c r="R8" s="108"/>
      <c r="S8" s="108"/>
      <c r="T8" s="112" t="s">
        <v>148</v>
      </c>
      <c r="U8" s="113" t="str">
        <f>'General Information'!C17</f>
        <v/>
      </c>
      <c r="V8" s="108" t="s">
        <v>9</v>
      </c>
      <c r="W8" s="108"/>
      <c r="X8" s="108"/>
      <c r="Y8" s="108"/>
      <c r="Z8" s="112" t="s">
        <v>73</v>
      </c>
      <c r="AA8" s="113">
        <f>'General Information'!C18</f>
        <v>0</v>
      </c>
      <c r="AB8" s="108" t="s">
        <v>9</v>
      </c>
      <c r="AC8" s="108"/>
      <c r="AD8" s="108"/>
      <c r="AE8" s="108"/>
    </row>
    <row r="9" spans="1:43" x14ac:dyDescent="0.2">
      <c r="A9" s="99"/>
      <c r="B9" s="95"/>
      <c r="C9" s="100" t="s">
        <v>11</v>
      </c>
      <c r="D9" s="101">
        <f>'General Information'!$C$22</f>
        <v>0</v>
      </c>
      <c r="E9" s="99" t="s">
        <v>9</v>
      </c>
      <c r="F9" s="99"/>
      <c r="G9" s="99"/>
      <c r="H9" s="99"/>
      <c r="I9" s="100" t="s">
        <v>32</v>
      </c>
      <c r="J9" s="101" t="str">
        <f>'General Information'!$C$19</f>
        <v/>
      </c>
      <c r="K9" s="99" t="s">
        <v>12</v>
      </c>
      <c r="L9" s="99"/>
      <c r="M9" s="99"/>
      <c r="N9" s="95"/>
      <c r="O9" s="105"/>
      <c r="Q9" s="54"/>
      <c r="R9" s="108"/>
      <c r="S9" s="108"/>
      <c r="T9" s="112" t="s">
        <v>11</v>
      </c>
      <c r="U9" s="113">
        <f>'General Information'!C22</f>
        <v>0</v>
      </c>
      <c r="V9" s="108" t="s">
        <v>9</v>
      </c>
      <c r="W9" s="108"/>
      <c r="X9" s="108"/>
      <c r="Y9" s="108"/>
      <c r="Z9" s="112" t="s">
        <v>32</v>
      </c>
      <c r="AA9" s="113" t="str">
        <f>'General Information'!C19</f>
        <v/>
      </c>
      <c r="AB9" s="108" t="s">
        <v>12</v>
      </c>
      <c r="AC9" s="108"/>
      <c r="AD9" s="108"/>
      <c r="AE9" s="108"/>
    </row>
    <row r="10" spans="1:43" x14ac:dyDescent="0.2">
      <c r="A10" s="99"/>
      <c r="B10" s="95"/>
      <c r="C10" s="100" t="s">
        <v>149</v>
      </c>
      <c r="D10" s="102">
        <f>'General Information'!$C$23</f>
        <v>0</v>
      </c>
      <c r="E10" s="99" t="s">
        <v>9</v>
      </c>
      <c r="F10" s="99"/>
      <c r="G10" s="99"/>
      <c r="H10" s="99"/>
      <c r="I10" s="99"/>
      <c r="J10" s="99"/>
      <c r="K10" s="99"/>
      <c r="L10" s="99"/>
      <c r="M10" s="99"/>
      <c r="N10" s="95"/>
      <c r="O10" s="105"/>
      <c r="Q10" s="54"/>
      <c r="R10" s="108"/>
      <c r="S10" s="108"/>
      <c r="T10" s="112" t="s">
        <v>149</v>
      </c>
      <c r="U10" s="114">
        <f>'General Information'!C23</f>
        <v>0</v>
      </c>
      <c r="V10" s="108" t="s">
        <v>9</v>
      </c>
      <c r="W10" s="108"/>
      <c r="X10" s="108"/>
      <c r="Y10" s="108"/>
      <c r="Z10" s="108"/>
      <c r="AA10" s="108"/>
      <c r="AB10" s="108"/>
      <c r="AC10" s="108"/>
      <c r="AD10" s="108"/>
      <c r="AE10" s="108"/>
    </row>
    <row r="11" spans="1:43" ht="15.75" x14ac:dyDescent="0.25">
      <c r="A11" s="99"/>
      <c r="B11" s="99"/>
      <c r="C11" s="395"/>
      <c r="D11" s="103"/>
      <c r="E11" s="99"/>
      <c r="F11" s="104"/>
      <c r="G11" s="99"/>
      <c r="H11" s="99"/>
      <c r="I11" s="395"/>
      <c r="J11" s="98"/>
      <c r="K11" s="99"/>
      <c r="L11" s="99"/>
      <c r="M11" s="99"/>
      <c r="N11" s="396"/>
      <c r="O11" s="105"/>
      <c r="Q11" s="54"/>
      <c r="R11" s="385"/>
      <c r="S11" s="385"/>
      <c r="T11" s="108"/>
      <c r="U11" s="112"/>
      <c r="V11" s="397"/>
      <c r="W11" s="108"/>
      <c r="X11" s="108"/>
      <c r="Y11" s="108"/>
      <c r="Z11" s="112"/>
      <c r="AA11" s="108"/>
      <c r="AB11" s="108"/>
      <c r="AC11" s="108"/>
      <c r="AD11" s="108"/>
      <c r="AE11" s="108"/>
    </row>
    <row r="12" spans="1:43" ht="16.5" thickBot="1" x14ac:dyDescent="0.3">
      <c r="A12" s="99"/>
      <c r="B12" s="398"/>
      <c r="C12" s="95"/>
      <c r="D12" s="399" t="s">
        <v>160</v>
      </c>
      <c r="E12" s="106">
        <f>IF(J9="",0,D9*(1-J9/100))</f>
        <v>0</v>
      </c>
      <c r="F12" s="398" t="s">
        <v>120</v>
      </c>
      <c r="G12" s="398"/>
      <c r="H12" s="398"/>
      <c r="I12" s="398"/>
      <c r="J12" s="398"/>
      <c r="K12" s="99"/>
      <c r="L12" s="99"/>
      <c r="M12" s="99"/>
      <c r="N12" s="95"/>
      <c r="O12" s="105"/>
      <c r="Q12" s="54"/>
      <c r="R12" s="400"/>
      <c r="S12" s="400"/>
      <c r="T12" s="400"/>
      <c r="U12" s="382"/>
      <c r="V12" s="401" t="s">
        <v>160</v>
      </c>
      <c r="W12" s="115" t="e">
        <f>+U9*(1-AA9/100)</f>
        <v>#VALUE!</v>
      </c>
      <c r="X12" s="402" t="s">
        <v>120</v>
      </c>
      <c r="Y12" s="400"/>
      <c r="Z12" s="400"/>
      <c r="AA12" s="400"/>
      <c r="AB12" s="400"/>
      <c r="AC12" s="382"/>
      <c r="AD12" s="382"/>
      <c r="AE12" s="382"/>
    </row>
    <row r="13" spans="1:43" ht="14.25" thickTop="1" thickBot="1" x14ac:dyDescent="0.25">
      <c r="A13" s="95"/>
      <c r="B13" s="403"/>
      <c r="C13" s="404"/>
      <c r="D13" s="405" t="s">
        <v>165</v>
      </c>
      <c r="E13" s="557" t="s">
        <v>3</v>
      </c>
      <c r="F13" s="558"/>
      <c r="G13" s="406" t="s">
        <v>4</v>
      </c>
      <c r="H13" s="407"/>
      <c r="I13" s="403"/>
      <c r="J13" s="508"/>
      <c r="K13" s="510" t="s">
        <v>165</v>
      </c>
      <c r="L13" s="559" t="s">
        <v>3</v>
      </c>
      <c r="M13" s="560"/>
      <c r="N13" s="511" t="s">
        <v>4</v>
      </c>
      <c r="O13" s="105"/>
      <c r="Q13" s="54"/>
      <c r="R13" s="408"/>
      <c r="S13" s="409"/>
      <c r="T13" s="410" t="s">
        <v>165</v>
      </c>
      <c r="U13" s="561" t="s">
        <v>3</v>
      </c>
      <c r="V13" s="562"/>
      <c r="W13" s="411" t="s">
        <v>4</v>
      </c>
      <c r="X13" s="412"/>
      <c r="Y13" s="408"/>
      <c r="Z13" s="409"/>
      <c r="AA13" s="410" t="s">
        <v>165</v>
      </c>
      <c r="AB13" s="561" t="s">
        <v>3</v>
      </c>
      <c r="AC13" s="562"/>
      <c r="AD13" s="411" t="s">
        <v>4</v>
      </c>
      <c r="AE13" s="382"/>
      <c r="AP13" s="413" t="s">
        <v>236</v>
      </c>
    </row>
    <row r="14" spans="1:43" ht="75" customHeight="1" thickTop="1" thickBot="1" x14ac:dyDescent="0.25">
      <c r="A14" s="95"/>
      <c r="B14" s="414" t="s">
        <v>0</v>
      </c>
      <c r="C14" s="415" t="s">
        <v>1</v>
      </c>
      <c r="D14" s="416" t="s">
        <v>2</v>
      </c>
      <c r="E14" s="415" t="s">
        <v>303</v>
      </c>
      <c r="F14" s="415" t="s">
        <v>302</v>
      </c>
      <c r="G14" s="417" t="s">
        <v>300</v>
      </c>
      <c r="H14" s="418"/>
      <c r="I14" s="414" t="s">
        <v>0</v>
      </c>
      <c r="J14" s="415" t="s">
        <v>33</v>
      </c>
      <c r="K14" s="415" t="s">
        <v>2</v>
      </c>
      <c r="L14" s="415" t="s">
        <v>304</v>
      </c>
      <c r="M14" s="415" t="s">
        <v>302</v>
      </c>
      <c r="N14" s="509" t="s">
        <v>301</v>
      </c>
      <c r="O14" s="105"/>
      <c r="Q14" s="54"/>
      <c r="R14" s="488" t="s">
        <v>0</v>
      </c>
      <c r="S14" s="489" t="s">
        <v>1</v>
      </c>
      <c r="T14" s="490" t="s">
        <v>2</v>
      </c>
      <c r="U14" s="489" t="s">
        <v>303</v>
      </c>
      <c r="V14" s="489" t="s">
        <v>302</v>
      </c>
      <c r="W14" s="491" t="s">
        <v>300</v>
      </c>
      <c r="X14" s="419"/>
      <c r="Y14" s="488" t="s">
        <v>0</v>
      </c>
      <c r="Z14" s="489" t="s">
        <v>33</v>
      </c>
      <c r="AA14" s="489" t="s">
        <v>2</v>
      </c>
      <c r="AB14" s="489" t="s">
        <v>303</v>
      </c>
      <c r="AC14" s="489" t="s">
        <v>302</v>
      </c>
      <c r="AD14" s="491" t="s">
        <v>300</v>
      </c>
      <c r="AE14" s="382"/>
      <c r="AL14" s="548" t="s">
        <v>235</v>
      </c>
      <c r="AM14" s="549"/>
      <c r="AN14" s="549"/>
      <c r="AO14" s="549"/>
      <c r="AP14" s="420" t="str">
        <f>+Certification!B31</f>
        <v/>
      </c>
      <c r="AQ14" s="421" t="e">
        <f>+Z98-S15</f>
        <v>#VALUE!</v>
      </c>
    </row>
    <row r="15" spans="1:43" ht="13.5" customHeight="1" x14ac:dyDescent="0.2">
      <c r="A15" s="422"/>
      <c r="B15" s="553" t="str">
        <f>IF($D$5="","",HLOOKUP('IWM Evaluation'!$D$5,'General Information'!$O$2:$V$26,2,FALSE))</f>
        <v>Week 1</v>
      </c>
      <c r="C15" s="470">
        <f>J5</f>
        <v>0</v>
      </c>
      <c r="D15" s="471" t="str">
        <f>IF(ISNUMBER(MATCH(C15,NDAWN!$A$6:$A$237,0))=TRUE,(VLOOKUP(C15,NDAWN!$A$6:$K$237,9,FALSE)),(""))</f>
        <v/>
      </c>
      <c r="E15" s="471" t="str">
        <f>IF(ISNUMBER(MATCH(C15,NDAWN!$A$6:$A$237,0))=TRUE,(VLOOKUP(C15,NDAWN!$A$6:$K$237,11,FALSE)),(""))</f>
        <v/>
      </c>
      <c r="F15" s="472">
        <f>IFERROR(VLOOKUP(C15,'Net Irrigation Calculator'!$A$10:$G$26,7,FALSE),(0))</f>
        <v>0</v>
      </c>
      <c r="G15" s="473">
        <f>IF(ISNUMBER(MATCH(C15,'Moisture Sensors (tensiometer)'!$AF$9:$AF$20,0))=TRUE,(VLOOKUP(C15,'Moisture Sensors (tensiometer)'!$AF$9:$AG$19,2)),('General Information'!C22))</f>
        <v>0</v>
      </c>
      <c r="H15" s="423" t="str">
        <f>IF(+G15="","",IF(G15&lt;=+$D$9,IF(G15&lt;$E$12,"Below MAD Level",""),"Runoff or Deep Percolation"))</f>
        <v/>
      </c>
      <c r="I15" s="553" t="str">
        <f>IF($D$5="","",HLOOKUP('IWM Evaluation'!$D$5,'General Information'!$O$2:$V$26,14,FALSE))</f>
        <v>Week 13</v>
      </c>
      <c r="J15" s="487" t="str">
        <f>IF($J$5&gt;0,+C98+1,"")</f>
        <v/>
      </c>
      <c r="K15" s="471" t="str">
        <f>IF(ISNUMBER(MATCH(J15,NDAWN!$A$6:$A$237,0))=TRUE,(VLOOKUP(J15,NDAWN!$A$6:$K$237,9,FALSE)),(""))</f>
        <v/>
      </c>
      <c r="L15" s="471" t="str">
        <f>IF(ISNUMBER(MATCH(J15,NDAWN!$A$6:$A$237,0))=TRUE,(VLOOKUP(J15,NDAWN!$A$6:$K$237,11,FALSE)),(""))</f>
        <v/>
      </c>
      <c r="M15" s="481">
        <f>IFERROR(VLOOKUP(J15,'Net Irrigation Calculator'!$A$10:$G$26,7,FALSE),(0))</f>
        <v>0</v>
      </c>
      <c r="N15" s="482" t="str">
        <f>IF(ISNUMBER(MATCH(J15,'Moisture Sensors (tensiometer)'!$AF$9:$AF$16,0))=TRUE,(VLOOKUP(J15,'Moisture Sensors (tensiometer)'!$AF$9:$AG$16,2)),(IF(K15="","",IF($D$9&gt;=G98,+G98-K15+L15+M15,$D$9))))</f>
        <v/>
      </c>
      <c r="O15" s="424" t="str">
        <f t="shared" ref="O15:O46" si="0">IF(+N15="","",IF(N15&lt;=+$D$9,IF(N15&lt;$E$12,"Below MAD Level",""),"Runoff or Deep Percolation"))</f>
        <v/>
      </c>
      <c r="Q15" s="54"/>
      <c r="R15" s="550" t="str">
        <f>IF($D$5="","",HLOOKUP('IWM Evaluation'!$D$5,'General Information'!$O$2:$V$26,2,FALSE))</f>
        <v>Week 1</v>
      </c>
      <c r="S15" s="492">
        <f>+AA5</f>
        <v>0</v>
      </c>
      <c r="T15" s="493" t="str">
        <f t="shared" ref="T15:T46" si="1">+D15</f>
        <v/>
      </c>
      <c r="U15" s="494" t="str">
        <f t="shared" ref="U15:U46" si="2">+E15</f>
        <v/>
      </c>
      <c r="V15" s="495"/>
      <c r="W15" s="525">
        <f>+G15</f>
        <v>0</v>
      </c>
      <c r="X15" s="425" t="str">
        <f t="shared" ref="X15:X46" si="3">IF(+W15="","",IF(W15&lt;=+$D$9,IF(W15&lt;$E$12,"Below MAD Level",""),"Runoff or Deep Percolation"))</f>
        <v/>
      </c>
      <c r="Y15" s="550" t="str">
        <f>IF($D$5="","",HLOOKUP('IWM Evaluation'!$D$5,'General Information'!$O$2:$V$26,14,FALSE))</f>
        <v>Week 13</v>
      </c>
      <c r="Z15" s="505" t="str">
        <f>IF($J$5&gt;0,+S98+1,"")</f>
        <v/>
      </c>
      <c r="AA15" s="493" t="str">
        <f t="shared" ref="AA15:AA46" si="4">+K15</f>
        <v/>
      </c>
      <c r="AB15" s="494" t="str">
        <f t="shared" ref="AB15:AB46" si="5">+L15</f>
        <v/>
      </c>
      <c r="AC15" s="506"/>
      <c r="AD15" s="521" t="str">
        <f>IF(_xlfn.ISFORMULA(N15)=FALSE,N15,IF(OR(AA15=0,AA15=""),"",IF($D$9&gt;=W98,+W98-AA15+AB15+AC15,$D$9)))</f>
        <v/>
      </c>
      <c r="AE15" s="425" t="str">
        <f t="shared" ref="AE15:AE46" si="6">IF(+AD15="","",IF(AD15&lt;=+$D$9,IF(AD15&lt;$E$12,"Below MAD Level",""),"Runoff or Deep Percolation"))</f>
        <v/>
      </c>
      <c r="AL15" s="426">
        <f t="shared" ref="AL15:AM34" si="7">+$D$9</f>
        <v>0</v>
      </c>
      <c r="AM15" s="426">
        <f t="shared" si="7"/>
        <v>0</v>
      </c>
      <c r="AN15" s="426" t="e">
        <f t="shared" ref="AN15:AO34" si="8">+$W$12</f>
        <v>#VALUE!</v>
      </c>
      <c r="AO15" s="426" t="e">
        <f t="shared" si="8"/>
        <v>#VALUE!</v>
      </c>
      <c r="AP15" s="427" t="e">
        <f>IF(+D15&gt;0,+$AP$14/$AQ$14,"")</f>
        <v>#VALUE!</v>
      </c>
      <c r="AQ15" s="162">
        <v>1</v>
      </c>
    </row>
    <row r="16" spans="1:43" x14ac:dyDescent="0.2">
      <c r="A16" s="95"/>
      <c r="B16" s="554"/>
      <c r="C16" s="474" t="str">
        <f t="shared" ref="C16:C47" si="9">IF($J$5&gt;0,+C15+1,"")</f>
        <v/>
      </c>
      <c r="D16" s="282" t="str">
        <f>IF(ISNUMBER(MATCH(C16,NDAWN!$A$6:$A$237,0))=TRUE,(VLOOKUP(C16,NDAWN!$A$6:$K$237,9,FALSE)),(""))</f>
        <v/>
      </c>
      <c r="E16" s="282" t="str">
        <f>IF(ISNUMBER(MATCH(C16,NDAWN!$A$6:$A$237,0))=TRUE,(VLOOKUP(C16,NDAWN!$A$6:$K$237,11,FALSE)),(""))</f>
        <v/>
      </c>
      <c r="F16" s="116">
        <f>IFERROR(VLOOKUP(C16,'Net Irrigation Calculator'!$A$10:$G$26,7,FALSE),(0))</f>
        <v>0</v>
      </c>
      <c r="G16" s="475" t="str">
        <f>IF(ISNUMBER(MATCH(C16,'Moisture Sensors (tensiometer)'!$AF$9:$AF$19,0))=TRUE,(VLOOKUP(C16,'Moisture Sensors (tensiometer)'!$AF$9:$AG$19,2)),(IF(D16="","",IF($D$9&gt;=G15,+G15-D16+E16+F16,$D$9))))</f>
        <v/>
      </c>
      <c r="H16" s="423" t="str">
        <f t="shared" ref="H16:H46" si="10">IF(+G16="","",IF(G16&lt;=+$D$9,IF(G16&lt;$E$12,"Below MAD Level",""),"Runoff or Deep Percolation"))</f>
        <v/>
      </c>
      <c r="I16" s="554"/>
      <c r="J16" s="474" t="str">
        <f t="shared" ref="J16:J47" si="11">IF($J$5&gt;0,+J15+1,"")</f>
        <v/>
      </c>
      <c r="K16" s="282" t="str">
        <f>IF(ISNUMBER(MATCH(J16,NDAWN!$A$6:$A$237,0))=TRUE,(VLOOKUP(J16,NDAWN!$A$6:$K$237,9,FALSE)),(""))</f>
        <v/>
      </c>
      <c r="L16" s="282" t="str">
        <f>IF(ISNUMBER(MATCH(J16,NDAWN!$A$6:$A$237,0))=TRUE,(VLOOKUP(J16,NDAWN!$A$6:$K$237,11,FALSE)),(""))</f>
        <v/>
      </c>
      <c r="M16" s="143">
        <f>IFERROR(VLOOKUP(J16,'Net Irrigation Calculator'!$A$10:$G$26,7,FALSE),(0))</f>
        <v>0</v>
      </c>
      <c r="N16" s="483" t="str">
        <f>IF(ISNUMBER(MATCH(J16,'Moisture Sensors (tensiometer)'!$AF$9:$AF$19,0))=TRUE,(VLOOKUP(J16,'Moisture Sensors (tensiometer)'!$AF$9:$AG$19,2)),(IF(K16="","",IF($D$9&gt;=N15,+N15-K16+L16+M16,$D$9))))</f>
        <v/>
      </c>
      <c r="O16" s="424" t="str">
        <f t="shared" si="0"/>
        <v/>
      </c>
      <c r="Q16" s="54"/>
      <c r="R16" s="551"/>
      <c r="S16" s="496" t="str">
        <f t="shared" ref="S16:S47" si="12">IF($J$5&gt;0,+S15+1,"")</f>
        <v/>
      </c>
      <c r="T16" s="497" t="str">
        <f t="shared" si="1"/>
        <v/>
      </c>
      <c r="U16" s="498" t="str">
        <f t="shared" si="2"/>
        <v/>
      </c>
      <c r="V16" s="117"/>
      <c r="W16" s="526" t="str">
        <f>IF(_xlfn.ISFORMULA(G16)=FALSE,G16,(IF(OR(T16=0,T16=""),"",IF($D$9&gt;=W15,+W15-T16+U16+V16,$D$9))))</f>
        <v/>
      </c>
      <c r="X16" s="425" t="str">
        <f t="shared" si="3"/>
        <v/>
      </c>
      <c r="Y16" s="551"/>
      <c r="Z16" s="496" t="str">
        <f t="shared" ref="Z16:Z47" si="13">IF($J$5&gt;0,+Z15+1,"")</f>
        <v/>
      </c>
      <c r="AA16" s="497" t="str">
        <f t="shared" si="4"/>
        <v/>
      </c>
      <c r="AB16" s="498" t="str">
        <f t="shared" si="5"/>
        <v/>
      </c>
      <c r="AC16" s="118"/>
      <c r="AD16" s="522" t="str">
        <f>IF(_xlfn.ISFORMULA(N16)=FALSE,N16,IF(OR(AA16=0,AA16=""),"",IF($D$9&gt;=AD15,+AD15-AA16+AB16+AC16,$D$9)))</f>
        <v/>
      </c>
      <c r="AE16" s="425" t="str">
        <f t="shared" si="6"/>
        <v/>
      </c>
      <c r="AL16" s="426">
        <f t="shared" si="7"/>
        <v>0</v>
      </c>
      <c r="AM16" s="426">
        <f t="shared" si="7"/>
        <v>0</v>
      </c>
      <c r="AN16" s="426" t="e">
        <f t="shared" si="8"/>
        <v>#VALUE!</v>
      </c>
      <c r="AO16" s="426" t="e">
        <f t="shared" si="8"/>
        <v>#VALUE!</v>
      </c>
      <c r="AP16" s="427" t="e">
        <f>IF(+D16&gt;0,+$AP$15*2,"")</f>
        <v>#VALUE!</v>
      </c>
      <c r="AQ16" s="162">
        <f>+AQ15+1</f>
        <v>2</v>
      </c>
    </row>
    <row r="17" spans="1:43" x14ac:dyDescent="0.2">
      <c r="A17" s="95"/>
      <c r="B17" s="554"/>
      <c r="C17" s="474" t="str">
        <f t="shared" si="9"/>
        <v/>
      </c>
      <c r="D17" s="282" t="str">
        <f>IF(ISNUMBER(MATCH(C17,NDAWN!$A$6:$A$237,0))=TRUE,(VLOOKUP(C17,NDAWN!$A$6:$K$237,9,FALSE)),(""))</f>
        <v/>
      </c>
      <c r="E17" s="282" t="str">
        <f>IF(ISNUMBER(MATCH(C17,NDAWN!$A$6:$A$237,0))=TRUE,(VLOOKUP(C17,NDAWN!$A$6:$K$237,11,FALSE)),(""))</f>
        <v/>
      </c>
      <c r="F17" s="116">
        <f>IFERROR(VLOOKUP(C17,'Net Irrigation Calculator'!$A$10:$G$26,7,FALSE),(0))</f>
        <v>0</v>
      </c>
      <c r="G17" s="475" t="str">
        <f>IF(ISNUMBER(MATCH(C17,'Moisture Sensors (tensiometer)'!$AF$9:$AF$19,0))=TRUE,(VLOOKUP(C17,'Moisture Sensors (tensiometer)'!$AF$9:$AG$19,2)),(IF(D17="","",IF($D$9&gt;=G16,+G16-D17+E17+F17,$D$9))))</f>
        <v/>
      </c>
      <c r="H17" s="423" t="str">
        <f t="shared" si="10"/>
        <v/>
      </c>
      <c r="I17" s="554"/>
      <c r="J17" s="474" t="str">
        <f t="shared" si="11"/>
        <v/>
      </c>
      <c r="K17" s="282" t="str">
        <f>IF(ISNUMBER(MATCH(J17,NDAWN!$A$6:$A$237,0))=TRUE,(VLOOKUP(J17,NDAWN!$A$6:$K$237,9,FALSE)),(""))</f>
        <v/>
      </c>
      <c r="L17" s="282" t="str">
        <f>IF(ISNUMBER(MATCH(J17,NDAWN!$A$6:$A$237,0))=TRUE,(VLOOKUP(J17,NDAWN!$A$6:$K$237,11,FALSE)),(""))</f>
        <v/>
      </c>
      <c r="M17" s="143">
        <f>IFERROR(VLOOKUP(J17,'Net Irrigation Calculator'!$A$10:$G$26,7,FALSE),(0))</f>
        <v>0</v>
      </c>
      <c r="N17" s="483" t="str">
        <f>IF(ISNUMBER(MATCH(J17,'Moisture Sensors (tensiometer)'!$AF$9:$AF$19,0))=TRUE,(VLOOKUP(J17,'Moisture Sensors (tensiometer)'!$AF$9:$AG$19,2)),(IF(K17="","",IF($D$9&gt;=N16,+N16-K17+L17+M17,$D$9))))</f>
        <v/>
      </c>
      <c r="O17" s="424" t="str">
        <f t="shared" si="0"/>
        <v/>
      </c>
      <c r="Q17" s="54"/>
      <c r="R17" s="551"/>
      <c r="S17" s="496" t="str">
        <f t="shared" si="12"/>
        <v/>
      </c>
      <c r="T17" s="497" t="str">
        <f t="shared" si="1"/>
        <v/>
      </c>
      <c r="U17" s="498" t="str">
        <f t="shared" si="2"/>
        <v/>
      </c>
      <c r="V17" s="117"/>
      <c r="W17" s="526" t="str">
        <f t="shared" ref="W17:W80" si="14">IF(_xlfn.ISFORMULA(G17)=FALSE,G17,(IF(OR(T17=0,T17=""),"",IF($D$9&gt;=W16,+W16-T17+U17+V17,$D$9))))</f>
        <v/>
      </c>
      <c r="X17" s="425" t="str">
        <f t="shared" si="3"/>
        <v/>
      </c>
      <c r="Y17" s="551"/>
      <c r="Z17" s="496" t="str">
        <f t="shared" si="13"/>
        <v/>
      </c>
      <c r="AA17" s="497" t="str">
        <f t="shared" si="4"/>
        <v/>
      </c>
      <c r="AB17" s="498" t="str">
        <f t="shared" si="5"/>
        <v/>
      </c>
      <c r="AC17" s="118"/>
      <c r="AD17" s="522" t="str">
        <f t="shared" ref="AD17:AD80" si="15">IF(_xlfn.ISFORMULA(N17)=FALSE,N17,IF(OR(AA17=0,AA17=""),"",IF($D$9&gt;=AD16,+AD16-AA17+AB17+AC17,$D$9)))</f>
        <v/>
      </c>
      <c r="AE17" s="425" t="str">
        <f t="shared" si="6"/>
        <v/>
      </c>
      <c r="AL17" s="426">
        <f t="shared" si="7"/>
        <v>0</v>
      </c>
      <c r="AM17" s="426">
        <f t="shared" si="7"/>
        <v>0</v>
      </c>
      <c r="AN17" s="426" t="e">
        <f t="shared" si="8"/>
        <v>#VALUE!</v>
      </c>
      <c r="AO17" s="426" t="e">
        <f t="shared" si="8"/>
        <v>#VALUE!</v>
      </c>
      <c r="AP17" s="427" t="e">
        <f>IF(+D17&gt;0,+$AP$15+AP16,"")</f>
        <v>#VALUE!</v>
      </c>
      <c r="AQ17" s="162">
        <f t="shared" ref="AQ17:AQ80" si="16">+AQ16+1</f>
        <v>3</v>
      </c>
    </row>
    <row r="18" spans="1:43" x14ac:dyDescent="0.2">
      <c r="A18" s="95"/>
      <c r="B18" s="554"/>
      <c r="C18" s="474" t="str">
        <f t="shared" si="9"/>
        <v/>
      </c>
      <c r="D18" s="282" t="str">
        <f>IF(ISNUMBER(MATCH(C18,NDAWN!$A$6:$A$237,0))=TRUE,(VLOOKUP(C18,NDAWN!$A$6:$K$237,9,FALSE)),(""))</f>
        <v/>
      </c>
      <c r="E18" s="282" t="str">
        <f>IF(ISNUMBER(MATCH(C18,NDAWN!$A$6:$A$237,0))=TRUE,(VLOOKUP(C18,NDAWN!$A$6:$K$237,11,FALSE)),(""))</f>
        <v/>
      </c>
      <c r="F18" s="116">
        <f>IFERROR(VLOOKUP(C18,'Net Irrigation Calculator'!$A$10:$G$26,7,FALSE),(0))</f>
        <v>0</v>
      </c>
      <c r="G18" s="475" t="str">
        <f>IF(ISNUMBER(MATCH(C18,'Moisture Sensors (tensiometer)'!$AF$9:$AF$19,0))=TRUE,(VLOOKUP(C18,'Moisture Sensors (tensiometer)'!$AF$9:$AG$19,2)),(IF(D18="","",IF($D$9&gt;=G17,+G17-D18+E18+F18,$D$9))))</f>
        <v/>
      </c>
      <c r="H18" s="423" t="str">
        <f t="shared" si="10"/>
        <v/>
      </c>
      <c r="I18" s="554"/>
      <c r="J18" s="474" t="str">
        <f t="shared" si="11"/>
        <v/>
      </c>
      <c r="K18" s="282" t="str">
        <f>IF(ISNUMBER(MATCH(J18,NDAWN!$A$6:$A$237,0))=TRUE,(VLOOKUP(J18,NDAWN!$A$6:$K$237,9,FALSE)),(""))</f>
        <v/>
      </c>
      <c r="L18" s="282" t="str">
        <f>IF(ISNUMBER(MATCH(J18,NDAWN!$A$6:$A$237,0))=TRUE,(VLOOKUP(J18,NDAWN!$A$6:$K$237,11,FALSE)),(""))</f>
        <v/>
      </c>
      <c r="M18" s="143">
        <f>IFERROR(VLOOKUP(J18,'Net Irrigation Calculator'!$A$10:$G$26,7,FALSE),(0))</f>
        <v>0</v>
      </c>
      <c r="N18" s="483" t="str">
        <f>IF(ISNUMBER(MATCH(J18,'Moisture Sensors (tensiometer)'!$AF$9:$AF$19,0))=TRUE,(VLOOKUP(J18,'Moisture Sensors (tensiometer)'!$AF$9:$AG$19,2)),(IF(K18="","",IF($D$9&gt;=N17,+N17-K18+L18+M18,$D$9))))</f>
        <v/>
      </c>
      <c r="O18" s="424" t="str">
        <f t="shared" si="0"/>
        <v/>
      </c>
      <c r="Q18" s="54"/>
      <c r="R18" s="551"/>
      <c r="S18" s="496" t="str">
        <f t="shared" si="12"/>
        <v/>
      </c>
      <c r="T18" s="497" t="str">
        <f t="shared" si="1"/>
        <v/>
      </c>
      <c r="U18" s="498" t="str">
        <f t="shared" si="2"/>
        <v/>
      </c>
      <c r="V18" s="517"/>
      <c r="W18" s="522" t="str">
        <f t="shared" si="14"/>
        <v/>
      </c>
      <c r="X18" s="425" t="str">
        <f t="shared" si="3"/>
        <v/>
      </c>
      <c r="Y18" s="551"/>
      <c r="Z18" s="496" t="str">
        <f t="shared" si="13"/>
        <v/>
      </c>
      <c r="AA18" s="497" t="str">
        <f t="shared" si="4"/>
        <v/>
      </c>
      <c r="AB18" s="498" t="str">
        <f t="shared" si="5"/>
        <v/>
      </c>
      <c r="AC18" s="118"/>
      <c r="AD18" s="522" t="str">
        <f t="shared" si="15"/>
        <v/>
      </c>
      <c r="AE18" s="425" t="str">
        <f t="shared" si="6"/>
        <v/>
      </c>
      <c r="AL18" s="426">
        <f t="shared" si="7"/>
        <v>0</v>
      </c>
      <c r="AM18" s="426">
        <f t="shared" si="7"/>
        <v>0</v>
      </c>
      <c r="AN18" s="426" t="e">
        <f t="shared" si="8"/>
        <v>#VALUE!</v>
      </c>
      <c r="AO18" s="426" t="e">
        <f t="shared" si="8"/>
        <v>#VALUE!</v>
      </c>
      <c r="AP18" s="427" t="e">
        <f t="shared" ref="AP18:AP81" si="17">IF(+D18&gt;0,+$AP$15+AP17,"")</f>
        <v>#VALUE!</v>
      </c>
      <c r="AQ18" s="162">
        <f t="shared" si="16"/>
        <v>4</v>
      </c>
    </row>
    <row r="19" spans="1:43" x14ac:dyDescent="0.2">
      <c r="A19" s="95"/>
      <c r="B19" s="554"/>
      <c r="C19" s="474" t="str">
        <f t="shared" si="9"/>
        <v/>
      </c>
      <c r="D19" s="282" t="str">
        <f>IF(ISNUMBER(MATCH(C19,NDAWN!$A$6:$A$237,0))=TRUE,(VLOOKUP(C19,NDAWN!$A$6:$K$237,9,FALSE)),(""))</f>
        <v/>
      </c>
      <c r="E19" s="282" t="str">
        <f>IF(ISNUMBER(MATCH(C19,NDAWN!$A$6:$A$237,0))=TRUE,(VLOOKUP(C19,NDAWN!$A$6:$K$237,11,FALSE)),(""))</f>
        <v/>
      </c>
      <c r="F19" s="116">
        <f>IFERROR(VLOOKUP(C19,'Net Irrigation Calculator'!$A$10:$G$26,7,FALSE),(0))</f>
        <v>0</v>
      </c>
      <c r="G19" s="475" t="str">
        <f>IF(ISNUMBER(MATCH(C19,'Moisture Sensors (tensiometer)'!$AF$9:$AF$19,0))=TRUE,(VLOOKUP(C19,'Moisture Sensors (tensiometer)'!$AF$9:$AG$19,2)),(IF(D19="","",IF($D$9&gt;=G18,+G18-D19+E19+F19,$D$9))))</f>
        <v/>
      </c>
      <c r="H19" s="423" t="str">
        <f t="shared" si="10"/>
        <v/>
      </c>
      <c r="I19" s="554"/>
      <c r="J19" s="474" t="str">
        <f t="shared" si="11"/>
        <v/>
      </c>
      <c r="K19" s="282" t="str">
        <f>IF(ISNUMBER(MATCH(J19,NDAWN!$A$6:$A$237,0))=TRUE,(VLOOKUP(J19,NDAWN!$A$6:$K$237,9,FALSE)),(""))</f>
        <v/>
      </c>
      <c r="L19" s="282" t="str">
        <f>IF(ISNUMBER(MATCH(J19,NDAWN!$A$6:$A$237,0))=TRUE,(VLOOKUP(J19,NDAWN!$A$6:$K$237,11,FALSE)),(""))</f>
        <v/>
      </c>
      <c r="M19" s="143">
        <f>IFERROR(VLOOKUP(J19,'Net Irrigation Calculator'!$A$10:$G$26,7,FALSE),(0))</f>
        <v>0</v>
      </c>
      <c r="N19" s="483" t="str">
        <f>IF(ISNUMBER(MATCH(J19,'Moisture Sensors (tensiometer)'!$AF$9:$AF$19,0))=TRUE,(VLOOKUP(J19,'Moisture Sensors (tensiometer)'!$AF$9:$AG$19,2)),(IF(K19="","",IF($D$9&gt;=N18,+N18-K19+L19+M19,$D$9))))</f>
        <v/>
      </c>
      <c r="O19" s="424" t="str">
        <f t="shared" si="0"/>
        <v/>
      </c>
      <c r="Q19" s="54"/>
      <c r="R19" s="551"/>
      <c r="S19" s="496" t="str">
        <f t="shared" si="12"/>
        <v/>
      </c>
      <c r="T19" s="497" t="str">
        <f t="shared" si="1"/>
        <v/>
      </c>
      <c r="U19" s="498" t="str">
        <f t="shared" si="2"/>
        <v/>
      </c>
      <c r="V19" s="117"/>
      <c r="W19" s="526" t="str">
        <f t="shared" si="14"/>
        <v/>
      </c>
      <c r="X19" s="425" t="str">
        <f t="shared" si="3"/>
        <v/>
      </c>
      <c r="Y19" s="551"/>
      <c r="Z19" s="496" t="str">
        <f t="shared" si="13"/>
        <v/>
      </c>
      <c r="AA19" s="497" t="str">
        <f t="shared" si="4"/>
        <v/>
      </c>
      <c r="AB19" s="498" t="str">
        <f t="shared" si="5"/>
        <v/>
      </c>
      <c r="AC19" s="118"/>
      <c r="AD19" s="522" t="str">
        <f t="shared" si="15"/>
        <v/>
      </c>
      <c r="AE19" s="425" t="str">
        <f t="shared" si="6"/>
        <v/>
      </c>
      <c r="AL19" s="426">
        <f t="shared" si="7"/>
        <v>0</v>
      </c>
      <c r="AM19" s="426">
        <f t="shared" si="7"/>
        <v>0</v>
      </c>
      <c r="AN19" s="426" t="e">
        <f t="shared" si="8"/>
        <v>#VALUE!</v>
      </c>
      <c r="AO19" s="426" t="e">
        <f t="shared" si="8"/>
        <v>#VALUE!</v>
      </c>
      <c r="AP19" s="427" t="e">
        <f t="shared" si="17"/>
        <v>#VALUE!</v>
      </c>
      <c r="AQ19" s="162">
        <f t="shared" si="16"/>
        <v>5</v>
      </c>
    </row>
    <row r="20" spans="1:43" x14ac:dyDescent="0.2">
      <c r="A20" s="95"/>
      <c r="B20" s="554"/>
      <c r="C20" s="474" t="str">
        <f t="shared" si="9"/>
        <v/>
      </c>
      <c r="D20" s="282" t="str">
        <f>IF(ISNUMBER(MATCH(C20,NDAWN!$A$6:$A$237,0))=TRUE,(VLOOKUP(C20,NDAWN!$A$6:$K$237,9,FALSE)),(""))</f>
        <v/>
      </c>
      <c r="E20" s="282" t="str">
        <f>IF(ISNUMBER(MATCH(C20,NDAWN!$A$6:$A$237,0))=TRUE,(VLOOKUP(C20,NDAWN!$A$6:$K$237,11,FALSE)),(""))</f>
        <v/>
      </c>
      <c r="F20" s="116">
        <f>IFERROR(VLOOKUP(C20,'Net Irrigation Calculator'!$A$10:$G$26,7,FALSE),(0))</f>
        <v>0</v>
      </c>
      <c r="G20" s="475" t="str">
        <f>IF(ISNUMBER(MATCH(C20,'Moisture Sensors (tensiometer)'!$AF$9:$AF$19,0))=TRUE,(VLOOKUP(C20,'Moisture Sensors (tensiometer)'!$AF$9:$AG$19,2)),(IF(D20="","",IF($D$9&gt;=G19,+G19-D20+E20+F20,$D$9))))</f>
        <v/>
      </c>
      <c r="H20" s="423" t="str">
        <f t="shared" si="10"/>
        <v/>
      </c>
      <c r="I20" s="554"/>
      <c r="J20" s="474" t="str">
        <f t="shared" si="11"/>
        <v/>
      </c>
      <c r="K20" s="282" t="str">
        <f>IF(ISNUMBER(MATCH(J20,NDAWN!$A$6:$A$237,0))=TRUE,(VLOOKUP(J20,NDAWN!$A$6:$K$237,9,FALSE)),(""))</f>
        <v/>
      </c>
      <c r="L20" s="282" t="str">
        <f>IF(ISNUMBER(MATCH(J20,NDAWN!$A$6:$A$237,0))=TRUE,(VLOOKUP(J20,NDAWN!$A$6:$K$237,11,FALSE)),(""))</f>
        <v/>
      </c>
      <c r="M20" s="143">
        <f>IFERROR(VLOOKUP(J20,'Net Irrigation Calculator'!$A$10:$G$26,7,FALSE),(0))</f>
        <v>0</v>
      </c>
      <c r="N20" s="483" t="str">
        <f>IF(ISNUMBER(MATCH(J20,'Moisture Sensors (tensiometer)'!$AF$9:$AF$19,0))=TRUE,(VLOOKUP(J20,'Moisture Sensors (tensiometer)'!$AF$9:$AG$19,2)),(IF(K20="","",IF($D$9&gt;=N19,+N19-K20+L20+M20,$D$9))))</f>
        <v/>
      </c>
      <c r="O20" s="424" t="str">
        <f t="shared" si="0"/>
        <v/>
      </c>
      <c r="Q20" s="54"/>
      <c r="R20" s="551"/>
      <c r="S20" s="496" t="str">
        <f t="shared" si="12"/>
        <v/>
      </c>
      <c r="T20" s="497" t="str">
        <f t="shared" si="1"/>
        <v/>
      </c>
      <c r="U20" s="498" t="str">
        <f t="shared" si="2"/>
        <v/>
      </c>
      <c r="V20" s="117"/>
      <c r="W20" s="526" t="str">
        <f t="shared" si="14"/>
        <v/>
      </c>
      <c r="X20" s="425" t="str">
        <f t="shared" si="3"/>
        <v/>
      </c>
      <c r="Y20" s="551"/>
      <c r="Z20" s="496" t="str">
        <f t="shared" si="13"/>
        <v/>
      </c>
      <c r="AA20" s="497" t="str">
        <f t="shared" si="4"/>
        <v/>
      </c>
      <c r="AB20" s="498" t="str">
        <f t="shared" si="5"/>
        <v/>
      </c>
      <c r="AC20" s="118"/>
      <c r="AD20" s="522" t="str">
        <f t="shared" si="15"/>
        <v/>
      </c>
      <c r="AE20" s="425" t="str">
        <f t="shared" si="6"/>
        <v/>
      </c>
      <c r="AL20" s="426">
        <f t="shared" si="7"/>
        <v>0</v>
      </c>
      <c r="AM20" s="426">
        <f t="shared" si="7"/>
        <v>0</v>
      </c>
      <c r="AN20" s="426" t="e">
        <f t="shared" si="8"/>
        <v>#VALUE!</v>
      </c>
      <c r="AO20" s="426" t="e">
        <f t="shared" si="8"/>
        <v>#VALUE!</v>
      </c>
      <c r="AP20" s="427" t="e">
        <f t="shared" si="17"/>
        <v>#VALUE!</v>
      </c>
      <c r="AQ20" s="162">
        <f t="shared" si="16"/>
        <v>6</v>
      </c>
    </row>
    <row r="21" spans="1:43" ht="13.5" thickBot="1" x14ac:dyDescent="0.25">
      <c r="A21" s="95"/>
      <c r="B21" s="554"/>
      <c r="C21" s="474" t="str">
        <f t="shared" si="9"/>
        <v/>
      </c>
      <c r="D21" s="282" t="str">
        <f>IF(ISNUMBER(MATCH(C21,NDAWN!$A$6:$A$237,0))=TRUE,(VLOOKUP(C21,NDAWN!$A$6:$K$237,9,FALSE)),(""))</f>
        <v/>
      </c>
      <c r="E21" s="282" t="str">
        <f>IF(ISNUMBER(MATCH(C21,NDAWN!$A$6:$A$237,0))=TRUE,(VLOOKUP(C21,NDAWN!$A$6:$K$237,11,FALSE)),(""))</f>
        <v/>
      </c>
      <c r="F21" s="479">
        <f>IFERROR(VLOOKUP(C21,'Net Irrigation Calculator'!$A$10:$G$26,7,FALSE),(0))</f>
        <v>0</v>
      </c>
      <c r="G21" s="524" t="str">
        <f>IF(ISNUMBER(MATCH(C21,'Moisture Sensors (tensiometer)'!$AF$9:$AF$19,0))=TRUE,(VLOOKUP(C21,'Moisture Sensors (tensiometer)'!$AF$9:$AG$19,2)),(IF(D21="","",IF($D$9&gt;=G20,+G20-D21+E21+F21,$D$9))))</f>
        <v/>
      </c>
      <c r="H21" s="423" t="str">
        <f t="shared" si="10"/>
        <v/>
      </c>
      <c r="I21" s="555"/>
      <c r="J21" s="476" t="str">
        <f t="shared" si="11"/>
        <v/>
      </c>
      <c r="K21" s="477" t="str">
        <f>IF(ISNUMBER(MATCH(J21,NDAWN!$A$6:$A$237,0))=TRUE,(VLOOKUP(J21,NDAWN!$A$6:$K$237,9,FALSE)),(""))</f>
        <v/>
      </c>
      <c r="L21" s="477" t="str">
        <f>IF(ISNUMBER(MATCH(J21,NDAWN!$A$6:$A$237,0))=TRUE,(VLOOKUP(J21,NDAWN!$A$6:$K$237,11,FALSE)),(""))</f>
        <v/>
      </c>
      <c r="M21" s="484">
        <f>IFERROR(VLOOKUP(J21,'Net Irrigation Calculator'!$A$10:$G$26,7,FALSE),(0))</f>
        <v>0</v>
      </c>
      <c r="N21" s="485" t="str">
        <f>IF(ISNUMBER(MATCH(J21,'Moisture Sensors (tensiometer)'!$AF$9:$AF$19,0))=TRUE,(VLOOKUP(J21,'Moisture Sensors (tensiometer)'!$AF$9:$AG$19,2)),(IF(K21="","",IF($D$9&gt;=N20,+N20-K21+L21+M21,$D$9))))</f>
        <v/>
      </c>
      <c r="O21" s="424" t="str">
        <f t="shared" si="0"/>
        <v/>
      </c>
      <c r="Q21" s="54"/>
      <c r="R21" s="552"/>
      <c r="S21" s="499" t="str">
        <f t="shared" si="12"/>
        <v/>
      </c>
      <c r="T21" s="500" t="str">
        <f t="shared" si="1"/>
        <v/>
      </c>
      <c r="U21" s="501" t="str">
        <f t="shared" si="2"/>
        <v/>
      </c>
      <c r="V21" s="502"/>
      <c r="W21" s="527" t="str">
        <f t="shared" si="14"/>
        <v/>
      </c>
      <c r="X21" s="425" t="str">
        <f t="shared" si="3"/>
        <v/>
      </c>
      <c r="Y21" s="552"/>
      <c r="Z21" s="499" t="str">
        <f t="shared" si="13"/>
        <v/>
      </c>
      <c r="AA21" s="500" t="str">
        <f t="shared" si="4"/>
        <v/>
      </c>
      <c r="AB21" s="501" t="str">
        <f t="shared" si="5"/>
        <v/>
      </c>
      <c r="AC21" s="507"/>
      <c r="AD21" s="523" t="str">
        <f t="shared" si="15"/>
        <v/>
      </c>
      <c r="AE21" s="425" t="str">
        <f t="shared" si="6"/>
        <v/>
      </c>
      <c r="AL21" s="426">
        <f t="shared" si="7"/>
        <v>0</v>
      </c>
      <c r="AM21" s="426">
        <f t="shared" si="7"/>
        <v>0</v>
      </c>
      <c r="AN21" s="426" t="e">
        <f t="shared" si="8"/>
        <v>#VALUE!</v>
      </c>
      <c r="AO21" s="426" t="e">
        <f t="shared" si="8"/>
        <v>#VALUE!</v>
      </c>
      <c r="AP21" s="427" t="e">
        <f t="shared" si="17"/>
        <v>#VALUE!</v>
      </c>
      <c r="AQ21" s="162">
        <f t="shared" si="16"/>
        <v>7</v>
      </c>
    </row>
    <row r="22" spans="1:43" ht="13.5" customHeight="1" x14ac:dyDescent="0.2">
      <c r="A22" s="95"/>
      <c r="B22" s="553" t="str">
        <f>IF($D$5="","",HLOOKUP('IWM Evaluation'!$D$5,'General Information'!$O$2:$V$26,3,FALSE))</f>
        <v>Week 2</v>
      </c>
      <c r="C22" s="480" t="str">
        <f t="shared" si="9"/>
        <v/>
      </c>
      <c r="D22" s="471" t="str">
        <f>IF(ISNUMBER(MATCH(C22,NDAWN!$A$6:$A$237,0))=TRUE,(VLOOKUP(C22,NDAWN!$A$6:$K$237,9,FALSE)),(""))</f>
        <v/>
      </c>
      <c r="E22" s="471" t="str">
        <f>IF(ISNUMBER(MATCH(C22,NDAWN!$A$6:$A$237,0))=TRUE,(VLOOKUP(C22,NDAWN!$A$6:$K$237,11,FALSE)),(""))</f>
        <v/>
      </c>
      <c r="F22" s="472">
        <f>IFERROR(VLOOKUP(C22,'Net Irrigation Calculator'!$A$10:$G$26,7,FALSE),(0))</f>
        <v>0</v>
      </c>
      <c r="G22" s="473" t="str">
        <f>IF(ISNUMBER(MATCH(C22,'Moisture Sensors (tensiometer)'!$AF$9:$AF$19,0))=TRUE,(VLOOKUP(C22,'Moisture Sensors (tensiometer)'!$AF$9:$AG$19,2)),(IF(D22="","",IF($D$9&gt;=G21,+G21-D22+E22+F22,$D$9))))</f>
        <v/>
      </c>
      <c r="H22" s="423" t="str">
        <f t="shared" si="10"/>
        <v/>
      </c>
      <c r="I22" s="553" t="str">
        <f>IF($D$5="","",HLOOKUP('IWM Evaluation'!$D$5,'General Information'!$O$2:$V$26,15,FALSE))</f>
        <v>Week 14</v>
      </c>
      <c r="J22" s="480" t="str">
        <f t="shared" si="11"/>
        <v/>
      </c>
      <c r="K22" s="471" t="str">
        <f>IF(ISNUMBER(MATCH(J22,NDAWN!$A$6:$A$237,0))=TRUE,(VLOOKUP(J22,NDAWN!$A$6:$K$237,9,FALSE)),(""))</f>
        <v/>
      </c>
      <c r="L22" s="471" t="str">
        <f>IF(ISNUMBER(MATCH(J22,NDAWN!$A$6:$A$237,0))=TRUE,(VLOOKUP(J22,NDAWN!$A$6:$K$237,11,FALSE)),(""))</f>
        <v/>
      </c>
      <c r="M22" s="481">
        <f>IFERROR(VLOOKUP(J22,'Net Irrigation Calculator'!$A$10:$G$26,7,FALSE),(0))</f>
        <v>0</v>
      </c>
      <c r="N22" s="482" t="str">
        <f>IF(ISNUMBER(MATCH(J22,'Moisture Sensors (tensiometer)'!$AF$9:$AF$19,0))=TRUE,(VLOOKUP(J22,'Moisture Sensors (tensiometer)'!$AF$9:$AG$19,2)),(IF(K22="","",IF($D$9&gt;=N21,+N21-K22+L22+M22,$D$9))))</f>
        <v/>
      </c>
      <c r="O22" s="424" t="str">
        <f t="shared" si="0"/>
        <v/>
      </c>
      <c r="Q22" s="54"/>
      <c r="R22" s="550" t="str">
        <f>IF($D$5="","",HLOOKUP('IWM Evaluation'!$D$5,'General Information'!$O$2:$V$26,3,FALSE))</f>
        <v>Week 2</v>
      </c>
      <c r="S22" s="503" t="str">
        <f t="shared" si="12"/>
        <v/>
      </c>
      <c r="T22" s="493" t="str">
        <f t="shared" si="1"/>
        <v/>
      </c>
      <c r="U22" s="494" t="str">
        <f t="shared" si="2"/>
        <v/>
      </c>
      <c r="V22" s="495"/>
      <c r="W22" s="525" t="str">
        <f t="shared" si="14"/>
        <v/>
      </c>
      <c r="X22" s="425" t="str">
        <f t="shared" si="3"/>
        <v/>
      </c>
      <c r="Y22" s="550" t="str">
        <f>IF($D$5="","",HLOOKUP('IWM Evaluation'!$D$5,'General Information'!$O$2:$V$26,15,FALSE))</f>
        <v>Week 14</v>
      </c>
      <c r="Z22" s="503" t="str">
        <f t="shared" si="13"/>
        <v/>
      </c>
      <c r="AA22" s="493" t="str">
        <f t="shared" si="4"/>
        <v/>
      </c>
      <c r="AB22" s="494" t="str">
        <f t="shared" si="5"/>
        <v/>
      </c>
      <c r="AC22" s="506"/>
      <c r="AD22" s="521" t="str">
        <f t="shared" si="15"/>
        <v/>
      </c>
      <c r="AE22" s="425" t="str">
        <f t="shared" si="6"/>
        <v/>
      </c>
      <c r="AL22" s="426">
        <f t="shared" si="7"/>
        <v>0</v>
      </c>
      <c r="AM22" s="426">
        <f t="shared" si="7"/>
        <v>0</v>
      </c>
      <c r="AN22" s="426" t="e">
        <f t="shared" si="8"/>
        <v>#VALUE!</v>
      </c>
      <c r="AO22" s="426" t="e">
        <f t="shared" si="8"/>
        <v>#VALUE!</v>
      </c>
      <c r="AP22" s="427" t="e">
        <f t="shared" si="17"/>
        <v>#VALUE!</v>
      </c>
      <c r="AQ22" s="162">
        <f t="shared" si="16"/>
        <v>8</v>
      </c>
    </row>
    <row r="23" spans="1:43" x14ac:dyDescent="0.2">
      <c r="A23" s="95"/>
      <c r="B23" s="554"/>
      <c r="C23" s="474" t="str">
        <f t="shared" si="9"/>
        <v/>
      </c>
      <c r="D23" s="282" t="str">
        <f>IF(ISNUMBER(MATCH(C23,NDAWN!$A$6:$A$237,0))=TRUE,(VLOOKUP(C23,NDAWN!$A$6:$K$237,9,FALSE)),(""))</f>
        <v/>
      </c>
      <c r="E23" s="282" t="str">
        <f>IF(ISNUMBER(MATCH(C23,NDAWN!$A$6:$A$237,0))=TRUE,(VLOOKUP(C23,NDAWN!$A$6:$K$237,11,FALSE)),(""))</f>
        <v/>
      </c>
      <c r="F23" s="116">
        <f>IFERROR(VLOOKUP(C23,'Net Irrigation Calculator'!$A$10:$G$26,7,FALSE),(0))</f>
        <v>0</v>
      </c>
      <c r="G23" s="475" t="str">
        <f>IF(ISNUMBER(MATCH(C23,'Moisture Sensors (tensiometer)'!$AF$9:$AF$19,0))=TRUE,(VLOOKUP(C23,'Moisture Sensors (tensiometer)'!$AF$9:$AG$19,2)),(IF(D23="","",IF($D$9&gt;=G22,+G22-D23+E23+F23,$D$9))))</f>
        <v/>
      </c>
      <c r="H23" s="423" t="str">
        <f t="shared" si="10"/>
        <v/>
      </c>
      <c r="I23" s="554"/>
      <c r="J23" s="474" t="str">
        <f t="shared" si="11"/>
        <v/>
      </c>
      <c r="K23" s="282" t="str">
        <f>IF(ISNUMBER(MATCH(J23,NDAWN!$A$6:$A$237,0))=TRUE,(VLOOKUP(J23,NDAWN!$A$6:$K$237,9,FALSE)),(""))</f>
        <v/>
      </c>
      <c r="L23" s="282" t="str">
        <f>IF(ISNUMBER(MATCH(J23,NDAWN!$A$6:$A$237,0))=TRUE,(VLOOKUP(J23,NDAWN!$A$6:$K$237,11,FALSE)),(""))</f>
        <v/>
      </c>
      <c r="M23" s="143">
        <f>IFERROR(VLOOKUP(J23,'Net Irrigation Calculator'!$A$10:$G$26,7,FALSE),(0))</f>
        <v>0</v>
      </c>
      <c r="N23" s="483" t="str">
        <f>IF(ISNUMBER(MATCH(J23,'Moisture Sensors (tensiometer)'!$AF$9:$AF$19,0))=TRUE,(VLOOKUP(J23,'Moisture Sensors (tensiometer)'!$AF$9:$AG$19,2)),(IF(K23="","",IF($D$9&gt;=N22,+N22-K23+L23+M23,$D$9))))</f>
        <v/>
      </c>
      <c r="O23" s="424" t="str">
        <f t="shared" si="0"/>
        <v/>
      </c>
      <c r="Q23" s="54"/>
      <c r="R23" s="551"/>
      <c r="S23" s="496" t="str">
        <f t="shared" si="12"/>
        <v/>
      </c>
      <c r="T23" s="497" t="str">
        <f t="shared" si="1"/>
        <v/>
      </c>
      <c r="U23" s="498" t="str">
        <f t="shared" si="2"/>
        <v/>
      </c>
      <c r="V23" s="117"/>
      <c r="W23" s="526" t="str">
        <f t="shared" si="14"/>
        <v/>
      </c>
      <c r="X23" s="425" t="str">
        <f t="shared" si="3"/>
        <v/>
      </c>
      <c r="Y23" s="551"/>
      <c r="Z23" s="496" t="str">
        <f t="shared" si="13"/>
        <v/>
      </c>
      <c r="AA23" s="497" t="str">
        <f t="shared" si="4"/>
        <v/>
      </c>
      <c r="AB23" s="498" t="str">
        <f t="shared" si="5"/>
        <v/>
      </c>
      <c r="AC23" s="118"/>
      <c r="AD23" s="522" t="str">
        <f t="shared" si="15"/>
        <v/>
      </c>
      <c r="AE23" s="425" t="str">
        <f t="shared" si="6"/>
        <v/>
      </c>
      <c r="AL23" s="426">
        <f t="shared" si="7"/>
        <v>0</v>
      </c>
      <c r="AM23" s="426">
        <f t="shared" si="7"/>
        <v>0</v>
      </c>
      <c r="AN23" s="426" t="e">
        <f t="shared" si="8"/>
        <v>#VALUE!</v>
      </c>
      <c r="AO23" s="426" t="e">
        <f t="shared" si="8"/>
        <v>#VALUE!</v>
      </c>
      <c r="AP23" s="427" t="e">
        <f t="shared" si="17"/>
        <v>#VALUE!</v>
      </c>
      <c r="AQ23" s="162">
        <f t="shared" si="16"/>
        <v>9</v>
      </c>
    </row>
    <row r="24" spans="1:43" x14ac:dyDescent="0.2">
      <c r="A24" s="95"/>
      <c r="B24" s="554"/>
      <c r="C24" s="474" t="str">
        <f t="shared" si="9"/>
        <v/>
      </c>
      <c r="D24" s="282" t="str">
        <f>IF(ISNUMBER(MATCH(C24,NDAWN!$A$6:$A$237,0))=TRUE,(VLOOKUP(C24,NDAWN!$A$6:$K$237,9,FALSE)),(""))</f>
        <v/>
      </c>
      <c r="E24" s="282" t="str">
        <f>IF(ISNUMBER(MATCH(C24,NDAWN!$A$6:$A$237,0))=TRUE,(VLOOKUP(C24,NDAWN!$A$6:$K$237,11,FALSE)),(""))</f>
        <v/>
      </c>
      <c r="F24" s="116">
        <f>IFERROR(VLOOKUP(C24,'Net Irrigation Calculator'!$A$10:$G$26,7,FALSE),(0))</f>
        <v>0</v>
      </c>
      <c r="G24" s="475" t="str">
        <f>IF(ISNUMBER(MATCH(C24,'Moisture Sensors (tensiometer)'!$AF$9:$AF$19,0))=TRUE,(VLOOKUP(C24,'Moisture Sensors (tensiometer)'!$AF$9:$AG$19,2)),(IF(D24="","",IF($D$9&gt;=G23,+G23-D24+E24+F24,$D$9))))</f>
        <v/>
      </c>
      <c r="H24" s="423" t="str">
        <f t="shared" si="10"/>
        <v/>
      </c>
      <c r="I24" s="554"/>
      <c r="J24" s="474" t="str">
        <f t="shared" si="11"/>
        <v/>
      </c>
      <c r="K24" s="282" t="str">
        <f>IF(ISNUMBER(MATCH(J24,NDAWN!$A$6:$A$237,0))=TRUE,(VLOOKUP(J24,NDAWN!$A$6:$K$237,9,FALSE)),(""))</f>
        <v/>
      </c>
      <c r="L24" s="282" t="str">
        <f>IF(ISNUMBER(MATCH(J24,NDAWN!$A$6:$A$237,0))=TRUE,(VLOOKUP(J24,NDAWN!$A$6:$K$237,11,FALSE)),(""))</f>
        <v/>
      </c>
      <c r="M24" s="143">
        <f>IFERROR(VLOOKUP(J24,'Net Irrigation Calculator'!$A$10:$G$26,7,FALSE),(0))</f>
        <v>0</v>
      </c>
      <c r="N24" s="483" t="str">
        <f>IF(ISNUMBER(MATCH(J24,'Moisture Sensors (tensiometer)'!$AF$9:$AF$19,0))=TRUE,(VLOOKUP(J24,'Moisture Sensors (tensiometer)'!$AF$9:$AG$19,2)),(IF(K24="","",IF($D$9&gt;=N23,+N23-K24+L24+M24,$D$9))))</f>
        <v/>
      </c>
      <c r="O24" s="424" t="str">
        <f t="shared" si="0"/>
        <v/>
      </c>
      <c r="Q24" s="54"/>
      <c r="R24" s="551"/>
      <c r="S24" s="496" t="str">
        <f t="shared" si="12"/>
        <v/>
      </c>
      <c r="T24" s="497" t="str">
        <f t="shared" si="1"/>
        <v/>
      </c>
      <c r="U24" s="498" t="str">
        <f t="shared" si="2"/>
        <v/>
      </c>
      <c r="V24" s="117"/>
      <c r="W24" s="526" t="str">
        <f t="shared" si="14"/>
        <v/>
      </c>
      <c r="X24" s="425" t="str">
        <f t="shared" si="3"/>
        <v/>
      </c>
      <c r="Y24" s="551"/>
      <c r="Z24" s="496" t="str">
        <f t="shared" si="13"/>
        <v/>
      </c>
      <c r="AA24" s="497" t="str">
        <f t="shared" si="4"/>
        <v/>
      </c>
      <c r="AB24" s="498" t="str">
        <f t="shared" si="5"/>
        <v/>
      </c>
      <c r="AC24" s="118"/>
      <c r="AD24" s="522" t="str">
        <f t="shared" si="15"/>
        <v/>
      </c>
      <c r="AE24" s="425" t="str">
        <f t="shared" si="6"/>
        <v/>
      </c>
      <c r="AL24" s="426">
        <f t="shared" si="7"/>
        <v>0</v>
      </c>
      <c r="AM24" s="426">
        <f t="shared" si="7"/>
        <v>0</v>
      </c>
      <c r="AN24" s="426" t="e">
        <f t="shared" si="8"/>
        <v>#VALUE!</v>
      </c>
      <c r="AO24" s="426" t="e">
        <f t="shared" si="8"/>
        <v>#VALUE!</v>
      </c>
      <c r="AP24" s="427" t="e">
        <f t="shared" si="17"/>
        <v>#VALUE!</v>
      </c>
      <c r="AQ24" s="162">
        <f t="shared" si="16"/>
        <v>10</v>
      </c>
    </row>
    <row r="25" spans="1:43" x14ac:dyDescent="0.2">
      <c r="A25" s="95"/>
      <c r="B25" s="554"/>
      <c r="C25" s="474" t="str">
        <f t="shared" si="9"/>
        <v/>
      </c>
      <c r="D25" s="282" t="str">
        <f>IF(ISNUMBER(MATCH(C25,NDAWN!$A$6:$A$237,0))=TRUE,(VLOOKUP(C25,NDAWN!$A$6:$K$237,9,FALSE)),(""))</f>
        <v/>
      </c>
      <c r="E25" s="282" t="str">
        <f>IF(ISNUMBER(MATCH(C25,NDAWN!$A$6:$A$237,0))=TRUE,(VLOOKUP(C25,NDAWN!$A$6:$K$237,11,FALSE)),(""))</f>
        <v/>
      </c>
      <c r="F25" s="116">
        <f>IFERROR(VLOOKUP(C25,'Net Irrigation Calculator'!$A$10:$G$26,7,FALSE),(0))</f>
        <v>0</v>
      </c>
      <c r="G25" s="475" t="str">
        <f>IF(ISNUMBER(MATCH(C25,'Moisture Sensors (tensiometer)'!$AF$9:$AF$19,0))=TRUE,(VLOOKUP(C25,'Moisture Sensors (tensiometer)'!$AF$9:$AG$19,2)),(IF(D25="","",IF($D$9&gt;=G24,+G24-D25+E25+F25,$D$9))))</f>
        <v/>
      </c>
      <c r="H25" s="423" t="str">
        <f t="shared" si="10"/>
        <v/>
      </c>
      <c r="I25" s="554"/>
      <c r="J25" s="474" t="str">
        <f t="shared" si="11"/>
        <v/>
      </c>
      <c r="K25" s="282" t="str">
        <f>IF(ISNUMBER(MATCH(J25,NDAWN!$A$6:$A$237,0))=TRUE,(VLOOKUP(J25,NDAWN!$A$6:$K$237,9,FALSE)),(""))</f>
        <v/>
      </c>
      <c r="L25" s="282" t="str">
        <f>IF(ISNUMBER(MATCH(J25,NDAWN!$A$6:$A$237,0))=TRUE,(VLOOKUP(J25,NDAWN!$A$6:$K$237,11,FALSE)),(""))</f>
        <v/>
      </c>
      <c r="M25" s="143">
        <f>IFERROR(VLOOKUP(J25,'Net Irrigation Calculator'!$A$10:$G$26,7,FALSE),(0))</f>
        <v>0</v>
      </c>
      <c r="N25" s="483" t="str">
        <f>IF(ISNUMBER(MATCH(J25,'Moisture Sensors (tensiometer)'!$AF$9:$AF$19,0))=TRUE,(VLOOKUP(J25,'Moisture Sensors (tensiometer)'!$AF$9:$AG$19,2)),(IF(K25="","",IF($D$9&gt;=N24,+N24-K25+L25+M25,$D$9))))</f>
        <v/>
      </c>
      <c r="O25" s="424" t="str">
        <f t="shared" si="0"/>
        <v/>
      </c>
      <c r="Q25" s="54"/>
      <c r="R25" s="551"/>
      <c r="S25" s="496" t="str">
        <f t="shared" si="12"/>
        <v/>
      </c>
      <c r="T25" s="497" t="str">
        <f t="shared" si="1"/>
        <v/>
      </c>
      <c r="U25" s="498" t="str">
        <f t="shared" si="2"/>
        <v/>
      </c>
      <c r="V25" s="117"/>
      <c r="W25" s="522" t="str">
        <f t="shared" si="14"/>
        <v/>
      </c>
      <c r="X25" s="425" t="str">
        <f t="shared" si="3"/>
        <v/>
      </c>
      <c r="Y25" s="551"/>
      <c r="Z25" s="496" t="str">
        <f t="shared" si="13"/>
        <v/>
      </c>
      <c r="AA25" s="497" t="str">
        <f t="shared" si="4"/>
        <v/>
      </c>
      <c r="AB25" s="498" t="str">
        <f t="shared" si="5"/>
        <v/>
      </c>
      <c r="AC25" s="118"/>
      <c r="AD25" s="522" t="str">
        <f t="shared" si="15"/>
        <v/>
      </c>
      <c r="AE25" s="425" t="str">
        <f t="shared" si="6"/>
        <v/>
      </c>
      <c r="AL25" s="426">
        <f t="shared" si="7"/>
        <v>0</v>
      </c>
      <c r="AM25" s="426">
        <f t="shared" si="7"/>
        <v>0</v>
      </c>
      <c r="AN25" s="426" t="e">
        <f t="shared" si="8"/>
        <v>#VALUE!</v>
      </c>
      <c r="AO25" s="426" t="e">
        <f t="shared" si="8"/>
        <v>#VALUE!</v>
      </c>
      <c r="AP25" s="427" t="e">
        <f t="shared" si="17"/>
        <v>#VALUE!</v>
      </c>
      <c r="AQ25" s="162">
        <f t="shared" si="16"/>
        <v>11</v>
      </c>
    </row>
    <row r="26" spans="1:43" x14ac:dyDescent="0.2">
      <c r="A26" s="95"/>
      <c r="B26" s="554"/>
      <c r="C26" s="474" t="str">
        <f t="shared" si="9"/>
        <v/>
      </c>
      <c r="D26" s="282" t="str">
        <f>IF(ISNUMBER(MATCH(C26,NDAWN!$A$6:$A$237,0))=TRUE,(VLOOKUP(C26,NDAWN!$A$6:$K$237,9,FALSE)),(""))</f>
        <v/>
      </c>
      <c r="E26" s="282" t="str">
        <f>IF(ISNUMBER(MATCH(C26,NDAWN!$A$6:$A$237,0))=TRUE,(VLOOKUP(C26,NDAWN!$A$6:$K$237,11,FALSE)),(""))</f>
        <v/>
      </c>
      <c r="F26" s="116">
        <f>IFERROR(VLOOKUP(C26,'Net Irrigation Calculator'!$A$10:$G$26,7,FALSE),(0))</f>
        <v>0</v>
      </c>
      <c r="G26" s="475" t="str">
        <f>IF(ISNUMBER(MATCH(C26,'Moisture Sensors (tensiometer)'!$AF$9:$AF$19,0))=TRUE,(VLOOKUP(C26,'Moisture Sensors (tensiometer)'!$AF$9:$AG$19,2)),(IF(D26="","",IF($D$9&gt;=G25,+G25-D26+E26+F26,$D$9))))</f>
        <v/>
      </c>
      <c r="H26" s="423" t="str">
        <f t="shared" si="10"/>
        <v/>
      </c>
      <c r="I26" s="554"/>
      <c r="J26" s="474" t="str">
        <f t="shared" si="11"/>
        <v/>
      </c>
      <c r="K26" s="282" t="str">
        <f>IF(ISNUMBER(MATCH(J26,NDAWN!$A$6:$A$237,0))=TRUE,(VLOOKUP(J26,NDAWN!$A$6:$K$237,9,FALSE)),(""))</f>
        <v/>
      </c>
      <c r="L26" s="282" t="str">
        <f>IF(ISNUMBER(MATCH(J26,NDAWN!$A$6:$A$237,0))=TRUE,(VLOOKUP(J26,NDAWN!$A$6:$K$237,11,FALSE)),(""))</f>
        <v/>
      </c>
      <c r="M26" s="143">
        <f>IFERROR(VLOOKUP(J26,'Net Irrigation Calculator'!$A$10:$G$26,7,FALSE),(0))</f>
        <v>0</v>
      </c>
      <c r="N26" s="483" t="str">
        <f>IF(ISNUMBER(MATCH(J26,'Moisture Sensors (tensiometer)'!$AF$9:$AF$19,0))=TRUE,(VLOOKUP(J26,'Moisture Sensors (tensiometer)'!$AF$9:$AG$19,2)),(IF(K26="","",IF($D$9&gt;=N25,+N25-K26+L26+M26,$D$9))))</f>
        <v/>
      </c>
      <c r="O26" s="424" t="str">
        <f t="shared" si="0"/>
        <v/>
      </c>
      <c r="Q26" s="54"/>
      <c r="R26" s="551"/>
      <c r="S26" s="496" t="str">
        <f t="shared" si="12"/>
        <v/>
      </c>
      <c r="T26" s="497" t="str">
        <f t="shared" si="1"/>
        <v/>
      </c>
      <c r="U26" s="498" t="str">
        <f t="shared" si="2"/>
        <v/>
      </c>
      <c r="V26" s="117"/>
      <c r="W26" s="526" t="str">
        <f t="shared" si="14"/>
        <v/>
      </c>
      <c r="X26" s="425" t="str">
        <f t="shared" si="3"/>
        <v/>
      </c>
      <c r="Y26" s="551"/>
      <c r="Z26" s="496" t="str">
        <f t="shared" si="13"/>
        <v/>
      </c>
      <c r="AA26" s="497" t="str">
        <f t="shared" si="4"/>
        <v/>
      </c>
      <c r="AB26" s="498" t="str">
        <f t="shared" si="5"/>
        <v/>
      </c>
      <c r="AC26" s="118"/>
      <c r="AD26" s="522" t="str">
        <f t="shared" si="15"/>
        <v/>
      </c>
      <c r="AE26" s="425" t="str">
        <f t="shared" si="6"/>
        <v/>
      </c>
      <c r="AL26" s="426">
        <f t="shared" si="7"/>
        <v>0</v>
      </c>
      <c r="AM26" s="426">
        <f t="shared" si="7"/>
        <v>0</v>
      </c>
      <c r="AN26" s="426" t="e">
        <f t="shared" si="8"/>
        <v>#VALUE!</v>
      </c>
      <c r="AO26" s="426" t="e">
        <f t="shared" si="8"/>
        <v>#VALUE!</v>
      </c>
      <c r="AP26" s="427" t="e">
        <f t="shared" si="17"/>
        <v>#VALUE!</v>
      </c>
      <c r="AQ26" s="162">
        <f t="shared" si="16"/>
        <v>12</v>
      </c>
    </row>
    <row r="27" spans="1:43" x14ac:dyDescent="0.2">
      <c r="A27" s="95"/>
      <c r="B27" s="554"/>
      <c r="C27" s="474" t="str">
        <f t="shared" si="9"/>
        <v/>
      </c>
      <c r="D27" s="282" t="str">
        <f>IF(ISNUMBER(MATCH(C27,NDAWN!$A$6:$A$237,0))=TRUE,(VLOOKUP(C27,NDAWN!$A$6:$K$237,9,FALSE)),(""))</f>
        <v/>
      </c>
      <c r="E27" s="282" t="str">
        <f>IF(ISNUMBER(MATCH(C27,NDAWN!$A$6:$A$237,0))=TRUE,(VLOOKUP(C27,NDAWN!$A$6:$K$237,11,FALSE)),(""))</f>
        <v/>
      </c>
      <c r="F27" s="116">
        <f>IFERROR(VLOOKUP(C27,'Net Irrigation Calculator'!$A$10:$G$26,7,FALSE),(0))</f>
        <v>0</v>
      </c>
      <c r="G27" s="475" t="str">
        <f>IF(ISNUMBER(MATCH(C27,'Moisture Sensors (tensiometer)'!$AF$9:$AF$19,0))=TRUE,(VLOOKUP(C27,'Moisture Sensors (tensiometer)'!$AF$9:$AG$19,2)),(IF(D27="","",IF($D$9&gt;=G26,+G26-D27+E27+F27,$D$9))))</f>
        <v/>
      </c>
      <c r="H27" s="423" t="str">
        <f t="shared" si="10"/>
        <v/>
      </c>
      <c r="I27" s="554"/>
      <c r="J27" s="474" t="str">
        <f t="shared" si="11"/>
        <v/>
      </c>
      <c r="K27" s="282" t="str">
        <f>IF(ISNUMBER(MATCH(J27,NDAWN!$A$6:$A$237,0))=TRUE,(VLOOKUP(J27,NDAWN!$A$6:$K$237,9,FALSE)),(""))</f>
        <v/>
      </c>
      <c r="L27" s="282" t="str">
        <f>IF(ISNUMBER(MATCH(J27,NDAWN!$A$6:$A$237,0))=TRUE,(VLOOKUP(J27,NDAWN!$A$6:$K$237,11,FALSE)),(""))</f>
        <v/>
      </c>
      <c r="M27" s="143">
        <f>IFERROR(VLOOKUP(J27,'Net Irrigation Calculator'!$A$10:$G$26,7,FALSE),(0))</f>
        <v>0</v>
      </c>
      <c r="N27" s="483" t="str">
        <f>IF(ISNUMBER(MATCH(J27,'Moisture Sensors (tensiometer)'!$AF$9:$AF$19,0))=TRUE,(VLOOKUP(J27,'Moisture Sensors (tensiometer)'!$AF$9:$AG$19,2)),(IF(K27="","",IF($D$9&gt;=N26,+N26-K27+L27+M27,$D$9))))</f>
        <v/>
      </c>
      <c r="O27" s="424" t="str">
        <f t="shared" si="0"/>
        <v/>
      </c>
      <c r="Q27" s="54"/>
      <c r="R27" s="551"/>
      <c r="S27" s="496" t="str">
        <f t="shared" si="12"/>
        <v/>
      </c>
      <c r="T27" s="497" t="str">
        <f t="shared" si="1"/>
        <v/>
      </c>
      <c r="U27" s="498" t="str">
        <f t="shared" si="2"/>
        <v/>
      </c>
      <c r="V27" s="117"/>
      <c r="W27" s="526" t="str">
        <f t="shared" si="14"/>
        <v/>
      </c>
      <c r="X27" s="425" t="str">
        <f t="shared" si="3"/>
        <v/>
      </c>
      <c r="Y27" s="551"/>
      <c r="Z27" s="496" t="str">
        <f t="shared" si="13"/>
        <v/>
      </c>
      <c r="AA27" s="497" t="str">
        <f t="shared" si="4"/>
        <v/>
      </c>
      <c r="AB27" s="498" t="str">
        <f t="shared" si="5"/>
        <v/>
      </c>
      <c r="AC27" s="118"/>
      <c r="AD27" s="522" t="str">
        <f t="shared" si="15"/>
        <v/>
      </c>
      <c r="AE27" s="425" t="str">
        <f t="shared" si="6"/>
        <v/>
      </c>
      <c r="AL27" s="426">
        <f t="shared" si="7"/>
        <v>0</v>
      </c>
      <c r="AM27" s="426">
        <f t="shared" si="7"/>
        <v>0</v>
      </c>
      <c r="AN27" s="426" t="e">
        <f t="shared" si="8"/>
        <v>#VALUE!</v>
      </c>
      <c r="AO27" s="426" t="e">
        <f t="shared" si="8"/>
        <v>#VALUE!</v>
      </c>
      <c r="AP27" s="427" t="e">
        <f t="shared" si="17"/>
        <v>#VALUE!</v>
      </c>
      <c r="AQ27" s="162">
        <f t="shared" si="16"/>
        <v>13</v>
      </c>
    </row>
    <row r="28" spans="1:43" ht="13.5" thickBot="1" x14ac:dyDescent="0.25">
      <c r="A28" s="95"/>
      <c r="B28" s="555"/>
      <c r="C28" s="476" t="str">
        <f t="shared" si="9"/>
        <v/>
      </c>
      <c r="D28" s="477" t="str">
        <f>IF(ISNUMBER(MATCH(C28,NDAWN!$A$6:$A$237,0))=TRUE,(VLOOKUP(C28,NDAWN!$A$6:$K$237,9,FALSE)),(""))</f>
        <v/>
      </c>
      <c r="E28" s="477" t="str">
        <f>IF(ISNUMBER(MATCH(C28,NDAWN!$A$6:$A$237,0))=TRUE,(VLOOKUP(C28,NDAWN!$A$6:$K$237,11,FALSE)),(""))</f>
        <v/>
      </c>
      <c r="F28" s="478">
        <f>IFERROR(VLOOKUP(C28,'Net Irrigation Calculator'!$A$10:$G$26,7,FALSE),(0))</f>
        <v>0</v>
      </c>
      <c r="G28" s="524" t="str">
        <f>IF(ISNUMBER(MATCH(C28,'Moisture Sensors (tensiometer)'!$AF$9:$AF$19,0))=TRUE,(VLOOKUP(C28,'Moisture Sensors (tensiometer)'!$AF$9:$AG$19,2)),(IF(D28="","",IF($D$9&gt;=G27,+G27-D28+E28+F28,$D$9))))</f>
        <v/>
      </c>
      <c r="H28" s="423" t="str">
        <f t="shared" si="10"/>
        <v/>
      </c>
      <c r="I28" s="555"/>
      <c r="J28" s="476" t="str">
        <f t="shared" si="11"/>
        <v/>
      </c>
      <c r="K28" s="477" t="str">
        <f>IF(ISNUMBER(MATCH(J28,NDAWN!$A$6:$A$237,0))=TRUE,(VLOOKUP(J28,NDAWN!$A$6:$K$237,9,FALSE)),(""))</f>
        <v/>
      </c>
      <c r="L28" s="477" t="str">
        <f>IF(ISNUMBER(MATCH(J28,NDAWN!$A$6:$A$237,0))=TRUE,(VLOOKUP(J28,NDAWN!$A$6:$K$237,11,FALSE)),(""))</f>
        <v/>
      </c>
      <c r="M28" s="484">
        <f>IFERROR(VLOOKUP(J28,'Net Irrigation Calculator'!$A$10:$G$26,7,FALSE),(0))</f>
        <v>0</v>
      </c>
      <c r="N28" s="485" t="str">
        <f>IF(ISNUMBER(MATCH(J28,'Moisture Sensors (tensiometer)'!$AF$9:$AF$19,0))=TRUE,(VLOOKUP(J28,'Moisture Sensors (tensiometer)'!$AF$9:$AG$19,2)),(IF(K28="","",IF($D$9&gt;=N27,+N27-K28+L28+M28,$D$9))))</f>
        <v/>
      </c>
      <c r="O28" s="424" t="str">
        <f t="shared" si="0"/>
        <v/>
      </c>
      <c r="Q28" s="54"/>
      <c r="R28" s="552"/>
      <c r="S28" s="499" t="str">
        <f t="shared" si="12"/>
        <v/>
      </c>
      <c r="T28" s="500" t="str">
        <f t="shared" si="1"/>
        <v/>
      </c>
      <c r="U28" s="501" t="str">
        <f t="shared" si="2"/>
        <v/>
      </c>
      <c r="V28" s="502"/>
      <c r="W28" s="527" t="str">
        <f t="shared" si="14"/>
        <v/>
      </c>
      <c r="X28" s="425" t="str">
        <f t="shared" si="3"/>
        <v/>
      </c>
      <c r="Y28" s="552"/>
      <c r="Z28" s="499" t="str">
        <f t="shared" si="13"/>
        <v/>
      </c>
      <c r="AA28" s="500" t="str">
        <f t="shared" si="4"/>
        <v/>
      </c>
      <c r="AB28" s="501" t="str">
        <f t="shared" si="5"/>
        <v/>
      </c>
      <c r="AC28" s="507"/>
      <c r="AD28" s="523" t="str">
        <f t="shared" si="15"/>
        <v/>
      </c>
      <c r="AE28" s="425" t="str">
        <f t="shared" si="6"/>
        <v/>
      </c>
      <c r="AL28" s="426">
        <f t="shared" si="7"/>
        <v>0</v>
      </c>
      <c r="AM28" s="426">
        <f t="shared" si="7"/>
        <v>0</v>
      </c>
      <c r="AN28" s="426" t="e">
        <f t="shared" si="8"/>
        <v>#VALUE!</v>
      </c>
      <c r="AO28" s="426" t="e">
        <f t="shared" si="8"/>
        <v>#VALUE!</v>
      </c>
      <c r="AP28" s="427" t="e">
        <f t="shared" si="17"/>
        <v>#VALUE!</v>
      </c>
      <c r="AQ28" s="162">
        <f t="shared" si="16"/>
        <v>14</v>
      </c>
    </row>
    <row r="29" spans="1:43" ht="13.5" customHeight="1" x14ac:dyDescent="0.2">
      <c r="A29" s="95"/>
      <c r="B29" s="553" t="str">
        <f>IF($D$5="","",HLOOKUP('IWM Evaluation'!$D$5,'General Information'!$O$2:$V$26,4,FALSE))</f>
        <v>Week 3</v>
      </c>
      <c r="C29" s="480" t="str">
        <f t="shared" si="9"/>
        <v/>
      </c>
      <c r="D29" s="471" t="str">
        <f>IF(ISNUMBER(MATCH(C29,NDAWN!$A$6:$A$237,0))=TRUE,(VLOOKUP(C29,NDAWN!$A$6:$K$237,9,FALSE)),(""))</f>
        <v/>
      </c>
      <c r="E29" s="471" t="str">
        <f>IF(ISNUMBER(MATCH(C29,NDAWN!$A$6:$A$237,0))=TRUE,(VLOOKUP(C29,NDAWN!$A$6:$K$237,11,FALSE)),(""))</f>
        <v/>
      </c>
      <c r="F29" s="472">
        <f>IFERROR(VLOOKUP(C29,'Net Irrigation Calculator'!$A$10:$G$26,7,FALSE),(0))</f>
        <v>0</v>
      </c>
      <c r="G29" s="473" t="str">
        <f>IF(ISNUMBER(MATCH(C29,'Moisture Sensors (tensiometer)'!$AF$9:$AF$19,0))=TRUE,(VLOOKUP(C29,'Moisture Sensors (tensiometer)'!$AF$9:$AG$19,2)),(IF(D29="","",IF($D$9&gt;=G28,+G28-D29+E29+F29,$D$9))))</f>
        <v/>
      </c>
      <c r="H29" s="423" t="str">
        <f t="shared" si="10"/>
        <v/>
      </c>
      <c r="I29" s="556" t="str">
        <f>IF($D$5="","",HLOOKUP('IWM Evaluation'!$D$5,'General Information'!$O$2:$V$26,16,FALSE))</f>
        <v>Week 15</v>
      </c>
      <c r="J29" s="474" t="str">
        <f t="shared" si="11"/>
        <v/>
      </c>
      <c r="K29" s="282" t="str">
        <f>IF(ISNUMBER(MATCH(J29,NDAWN!$A$6:$A$237,0))=TRUE,(VLOOKUP(J29,NDAWN!$A$6:$K$237,9,FALSE)),(""))</f>
        <v/>
      </c>
      <c r="L29" s="282" t="str">
        <f>IF(ISNUMBER(MATCH(J29,NDAWN!$A$6:$A$237,0))=TRUE,(VLOOKUP(J29,NDAWN!$A$6:$K$237,11,FALSE)),(""))</f>
        <v/>
      </c>
      <c r="M29" s="143">
        <f>IFERROR(VLOOKUP(J29,'Net Irrigation Calculator'!$A$10:$G$26,7,FALSE),(0))</f>
        <v>0</v>
      </c>
      <c r="N29" s="486" t="str">
        <f>IF(ISNUMBER(MATCH(J29,'Moisture Sensors (tensiometer)'!$AF$9:$AF$19,0))=TRUE,(VLOOKUP(J29,'Moisture Sensors (tensiometer)'!$AF$9:$AG$19,2)),(IF(K29="","",IF($D$9&gt;=N28,+N28-K29+L29+M29,$D$9))))</f>
        <v/>
      </c>
      <c r="O29" s="424" t="str">
        <f t="shared" si="0"/>
        <v/>
      </c>
      <c r="Q29" s="54"/>
      <c r="R29" s="550" t="str">
        <f>IF($D$5="","",HLOOKUP('IWM Evaluation'!$D$5,'General Information'!$O$2:$V$26,4,FALSE))</f>
        <v>Week 3</v>
      </c>
      <c r="S29" s="503" t="str">
        <f t="shared" si="12"/>
        <v/>
      </c>
      <c r="T29" s="493" t="str">
        <f t="shared" si="1"/>
        <v/>
      </c>
      <c r="U29" s="494" t="str">
        <f t="shared" si="2"/>
        <v/>
      </c>
      <c r="V29" s="495"/>
      <c r="W29" s="525" t="str">
        <f t="shared" si="14"/>
        <v/>
      </c>
      <c r="X29" s="425" t="str">
        <f t="shared" si="3"/>
        <v/>
      </c>
      <c r="Y29" s="550" t="str">
        <f>IF($D$5="","",HLOOKUP('IWM Evaluation'!$D$5,'General Information'!$O$2:$V$26,16,FALSE))</f>
        <v>Week 15</v>
      </c>
      <c r="Z29" s="503" t="str">
        <f t="shared" si="13"/>
        <v/>
      </c>
      <c r="AA29" s="493" t="str">
        <f t="shared" si="4"/>
        <v/>
      </c>
      <c r="AB29" s="494" t="str">
        <f t="shared" si="5"/>
        <v/>
      </c>
      <c r="AC29" s="506"/>
      <c r="AD29" s="521" t="str">
        <f t="shared" si="15"/>
        <v/>
      </c>
      <c r="AE29" s="425" t="str">
        <f t="shared" si="6"/>
        <v/>
      </c>
      <c r="AL29" s="426">
        <f t="shared" si="7"/>
        <v>0</v>
      </c>
      <c r="AM29" s="426">
        <f t="shared" si="7"/>
        <v>0</v>
      </c>
      <c r="AN29" s="426" t="e">
        <f t="shared" si="8"/>
        <v>#VALUE!</v>
      </c>
      <c r="AO29" s="426" t="e">
        <f t="shared" si="8"/>
        <v>#VALUE!</v>
      </c>
      <c r="AP29" s="427" t="e">
        <f t="shared" si="17"/>
        <v>#VALUE!</v>
      </c>
      <c r="AQ29" s="162">
        <f t="shared" si="16"/>
        <v>15</v>
      </c>
    </row>
    <row r="30" spans="1:43" x14ac:dyDescent="0.2">
      <c r="A30" s="95"/>
      <c r="B30" s="554"/>
      <c r="C30" s="474" t="str">
        <f t="shared" si="9"/>
        <v/>
      </c>
      <c r="D30" s="282" t="str">
        <f>IF(ISNUMBER(MATCH(C30,NDAWN!$A$6:$A$237,0))=TRUE,(VLOOKUP(C30,NDAWN!$A$6:$K$237,9,FALSE)),(""))</f>
        <v/>
      </c>
      <c r="E30" s="282" t="str">
        <f>IF(ISNUMBER(MATCH(C30,NDAWN!$A$6:$A$237,0))=TRUE,(VLOOKUP(C30,NDAWN!$A$6:$K$237,11,FALSE)),(""))</f>
        <v/>
      </c>
      <c r="F30" s="116">
        <f>IFERROR(VLOOKUP(C30,'Net Irrigation Calculator'!$A$10:$G$26,7,FALSE),(0))</f>
        <v>0</v>
      </c>
      <c r="G30" s="475" t="str">
        <f>IF(ISNUMBER(MATCH(C30,'Moisture Sensors (tensiometer)'!$AF$9:$AF$19,0))=TRUE,(VLOOKUP(C30,'Moisture Sensors (tensiometer)'!$AF$9:$AG$19,2)),(IF(D30="","",IF($D$9&gt;=G29,+G29-D30+E30+F30,$D$9))))</f>
        <v/>
      </c>
      <c r="H30" s="423" t="str">
        <f t="shared" si="10"/>
        <v/>
      </c>
      <c r="I30" s="554"/>
      <c r="J30" s="474" t="str">
        <f t="shared" si="11"/>
        <v/>
      </c>
      <c r="K30" s="282" t="str">
        <f>IF(ISNUMBER(MATCH(J30,NDAWN!$A$6:$A$237,0))=TRUE,(VLOOKUP(J30,NDAWN!$A$6:$K$237,9,FALSE)),(""))</f>
        <v/>
      </c>
      <c r="L30" s="282" t="str">
        <f>IF(ISNUMBER(MATCH(J30,NDAWN!$A$6:$A$237,0))=TRUE,(VLOOKUP(J30,NDAWN!$A$6:$K$237,11,FALSE)),(""))</f>
        <v/>
      </c>
      <c r="M30" s="143">
        <f>IFERROR(VLOOKUP(J30,'Net Irrigation Calculator'!$A$10:$G$26,7,FALSE),(0))</f>
        <v>0</v>
      </c>
      <c r="N30" s="483" t="str">
        <f>IF(ISNUMBER(MATCH(J30,'Moisture Sensors (tensiometer)'!$AF$9:$AF$19,0))=TRUE,(VLOOKUP(J30,'Moisture Sensors (tensiometer)'!$AF$9:$AG$19,2)),(IF(K30="","",IF($D$9&gt;=N29,+N29-K30+L30+M30,$D$9))))</f>
        <v/>
      </c>
      <c r="O30" s="424" t="str">
        <f t="shared" si="0"/>
        <v/>
      </c>
      <c r="Q30" s="54"/>
      <c r="R30" s="551"/>
      <c r="S30" s="496" t="str">
        <f t="shared" si="12"/>
        <v/>
      </c>
      <c r="T30" s="497" t="str">
        <f t="shared" si="1"/>
        <v/>
      </c>
      <c r="U30" s="498" t="str">
        <f t="shared" si="2"/>
        <v/>
      </c>
      <c r="V30" s="117"/>
      <c r="W30" s="526" t="str">
        <f t="shared" si="14"/>
        <v/>
      </c>
      <c r="X30" s="425" t="str">
        <f t="shared" si="3"/>
        <v/>
      </c>
      <c r="Y30" s="551"/>
      <c r="Z30" s="496" t="str">
        <f t="shared" si="13"/>
        <v/>
      </c>
      <c r="AA30" s="497" t="str">
        <f t="shared" si="4"/>
        <v/>
      </c>
      <c r="AB30" s="498" t="str">
        <f t="shared" si="5"/>
        <v/>
      </c>
      <c r="AC30" s="118"/>
      <c r="AD30" s="522" t="str">
        <f t="shared" si="15"/>
        <v/>
      </c>
      <c r="AE30" s="425" t="str">
        <f t="shared" si="6"/>
        <v/>
      </c>
      <c r="AL30" s="426">
        <f t="shared" si="7"/>
        <v>0</v>
      </c>
      <c r="AM30" s="426">
        <f t="shared" si="7"/>
        <v>0</v>
      </c>
      <c r="AN30" s="426" t="e">
        <f t="shared" si="8"/>
        <v>#VALUE!</v>
      </c>
      <c r="AO30" s="426" t="e">
        <f t="shared" si="8"/>
        <v>#VALUE!</v>
      </c>
      <c r="AP30" s="427" t="e">
        <f t="shared" si="17"/>
        <v>#VALUE!</v>
      </c>
      <c r="AQ30" s="162">
        <f t="shared" si="16"/>
        <v>16</v>
      </c>
    </row>
    <row r="31" spans="1:43" x14ac:dyDescent="0.2">
      <c r="A31" s="95"/>
      <c r="B31" s="554"/>
      <c r="C31" s="474" t="str">
        <f t="shared" si="9"/>
        <v/>
      </c>
      <c r="D31" s="282" t="str">
        <f>IF(ISNUMBER(MATCH(C31,NDAWN!$A$6:$A$237,0))=TRUE,(VLOOKUP(C31,NDAWN!$A$6:$K$237,9,FALSE)),(""))</f>
        <v/>
      </c>
      <c r="E31" s="282" t="str">
        <f>IF(ISNUMBER(MATCH(C31,NDAWN!$A$6:$A$237,0))=TRUE,(VLOOKUP(C31,NDAWN!$A$6:$K$237,11,FALSE)),(""))</f>
        <v/>
      </c>
      <c r="F31" s="116">
        <f>IFERROR(VLOOKUP(C31,'Net Irrigation Calculator'!$A$10:$G$26,7,FALSE),(0))</f>
        <v>0</v>
      </c>
      <c r="G31" s="475" t="str">
        <f>IF(ISNUMBER(MATCH(C31,'Moisture Sensors (tensiometer)'!$AF$9:$AF$19,0))=TRUE,(VLOOKUP(C31,'Moisture Sensors (tensiometer)'!$AF$9:$AG$19,2)),(IF(D31="","",IF($D$9&gt;=G30,+G30-D31+E31+F31,$D$9))))</f>
        <v/>
      </c>
      <c r="H31" s="423" t="str">
        <f t="shared" si="10"/>
        <v/>
      </c>
      <c r="I31" s="554"/>
      <c r="J31" s="474" t="str">
        <f t="shared" si="11"/>
        <v/>
      </c>
      <c r="K31" s="282" t="str">
        <f>IF(ISNUMBER(MATCH(J31,NDAWN!$A$6:$A$237,0))=TRUE,(VLOOKUP(J31,NDAWN!$A$6:$K$237,9,FALSE)),(""))</f>
        <v/>
      </c>
      <c r="L31" s="282" t="str">
        <f>IF(ISNUMBER(MATCH(J31,NDAWN!$A$6:$A$237,0))=TRUE,(VLOOKUP(J31,NDAWN!$A$6:$K$237,11,FALSE)),(""))</f>
        <v/>
      </c>
      <c r="M31" s="143">
        <f>IFERROR(VLOOKUP(J31,'Net Irrigation Calculator'!$A$10:$G$26,7,FALSE),(0))</f>
        <v>0</v>
      </c>
      <c r="N31" s="483" t="str">
        <f>IF(ISNUMBER(MATCH(J31,'Moisture Sensors (tensiometer)'!$AF$9:$AF$19,0))=TRUE,(VLOOKUP(J31,'Moisture Sensors (tensiometer)'!$AF$9:$AG$19,2)),(IF(K31="","",IF($D$9&gt;=N30,+N30-K31+L31+M31,$D$9))))</f>
        <v/>
      </c>
      <c r="O31" s="424" t="str">
        <f t="shared" si="0"/>
        <v/>
      </c>
      <c r="Q31" s="54"/>
      <c r="R31" s="551"/>
      <c r="S31" s="496" t="str">
        <f t="shared" si="12"/>
        <v/>
      </c>
      <c r="T31" s="497" t="str">
        <f t="shared" si="1"/>
        <v/>
      </c>
      <c r="U31" s="498" t="str">
        <f t="shared" si="2"/>
        <v/>
      </c>
      <c r="V31" s="117"/>
      <c r="W31" s="526" t="str">
        <f t="shared" si="14"/>
        <v/>
      </c>
      <c r="X31" s="425" t="str">
        <f t="shared" si="3"/>
        <v/>
      </c>
      <c r="Y31" s="551"/>
      <c r="Z31" s="496" t="str">
        <f t="shared" si="13"/>
        <v/>
      </c>
      <c r="AA31" s="497" t="str">
        <f t="shared" si="4"/>
        <v/>
      </c>
      <c r="AB31" s="498" t="str">
        <f t="shared" si="5"/>
        <v/>
      </c>
      <c r="AC31" s="118"/>
      <c r="AD31" s="522" t="str">
        <f t="shared" si="15"/>
        <v/>
      </c>
      <c r="AE31" s="425" t="str">
        <f t="shared" si="6"/>
        <v/>
      </c>
      <c r="AL31" s="426">
        <f t="shared" si="7"/>
        <v>0</v>
      </c>
      <c r="AM31" s="426">
        <f t="shared" si="7"/>
        <v>0</v>
      </c>
      <c r="AN31" s="426" t="e">
        <f t="shared" si="8"/>
        <v>#VALUE!</v>
      </c>
      <c r="AO31" s="426" t="e">
        <f t="shared" si="8"/>
        <v>#VALUE!</v>
      </c>
      <c r="AP31" s="427" t="e">
        <f t="shared" si="17"/>
        <v>#VALUE!</v>
      </c>
      <c r="AQ31" s="162">
        <f t="shared" si="16"/>
        <v>17</v>
      </c>
    </row>
    <row r="32" spans="1:43" x14ac:dyDescent="0.2">
      <c r="A32" s="95"/>
      <c r="B32" s="554"/>
      <c r="C32" s="474" t="str">
        <f t="shared" si="9"/>
        <v/>
      </c>
      <c r="D32" s="282" t="str">
        <f>IF(ISNUMBER(MATCH(C32,NDAWN!$A$6:$A$237,0))=TRUE,(VLOOKUP(C32,NDAWN!$A$6:$K$237,9,FALSE)),(""))</f>
        <v/>
      </c>
      <c r="E32" s="282" t="str">
        <f>IF(ISNUMBER(MATCH(C32,NDAWN!$A$6:$A$237,0))=TRUE,(VLOOKUP(C32,NDAWN!$A$6:$K$237,11,FALSE)),(""))</f>
        <v/>
      </c>
      <c r="F32" s="116">
        <f>IFERROR(VLOOKUP(C32,'Net Irrigation Calculator'!$A$10:$G$26,7,FALSE),(0))</f>
        <v>0</v>
      </c>
      <c r="G32" s="475" t="str">
        <f>IF(ISNUMBER(MATCH(C32,'Moisture Sensors (tensiometer)'!$AF$9:$AF$19,0))=TRUE,(VLOOKUP(C32,'Moisture Sensors (tensiometer)'!$AF$9:$AG$19,2)),(IF(D32="","",IF($D$9&gt;=G31,+G31-D32+E32+F32,$D$9))))</f>
        <v/>
      </c>
      <c r="H32" s="423" t="str">
        <f t="shared" si="10"/>
        <v/>
      </c>
      <c r="I32" s="554"/>
      <c r="J32" s="474" t="str">
        <f t="shared" si="11"/>
        <v/>
      </c>
      <c r="K32" s="282" t="str">
        <f>IF(ISNUMBER(MATCH(J32,NDAWN!$A$6:$A$237,0))=TRUE,(VLOOKUP(J32,NDAWN!$A$6:$K$237,9,FALSE)),(""))</f>
        <v/>
      </c>
      <c r="L32" s="282" t="str">
        <f>IF(ISNUMBER(MATCH(J32,NDAWN!$A$6:$A$237,0))=TRUE,(VLOOKUP(J32,NDAWN!$A$6:$K$237,11,FALSE)),(""))</f>
        <v/>
      </c>
      <c r="M32" s="143">
        <f>IFERROR(VLOOKUP(J32,'Net Irrigation Calculator'!$A$10:$G$26,7,FALSE),(0))</f>
        <v>0</v>
      </c>
      <c r="N32" s="483" t="str">
        <f>IF(ISNUMBER(MATCH(J32,'Moisture Sensors (tensiometer)'!$AF$9:$AF$19,0))=TRUE,(VLOOKUP(J32,'Moisture Sensors (tensiometer)'!$AF$9:$AG$19,2)),(IF(K32="","",IF($D$9&gt;=N31,+N31-K32+L32+M32,$D$9))))</f>
        <v/>
      </c>
      <c r="O32" s="424" t="str">
        <f t="shared" si="0"/>
        <v/>
      </c>
      <c r="Q32" s="54"/>
      <c r="R32" s="551"/>
      <c r="S32" s="496" t="str">
        <f t="shared" si="12"/>
        <v/>
      </c>
      <c r="T32" s="497" t="str">
        <f t="shared" si="1"/>
        <v/>
      </c>
      <c r="U32" s="498" t="str">
        <f t="shared" si="2"/>
        <v/>
      </c>
      <c r="V32" s="117"/>
      <c r="W32" s="522" t="str">
        <f t="shared" si="14"/>
        <v/>
      </c>
      <c r="X32" s="425" t="str">
        <f t="shared" si="3"/>
        <v/>
      </c>
      <c r="Y32" s="551"/>
      <c r="Z32" s="496" t="str">
        <f t="shared" si="13"/>
        <v/>
      </c>
      <c r="AA32" s="497" t="str">
        <f t="shared" si="4"/>
        <v/>
      </c>
      <c r="AB32" s="498" t="str">
        <f t="shared" si="5"/>
        <v/>
      </c>
      <c r="AC32" s="118"/>
      <c r="AD32" s="522" t="str">
        <f t="shared" si="15"/>
        <v/>
      </c>
      <c r="AE32" s="425" t="str">
        <f t="shared" si="6"/>
        <v/>
      </c>
      <c r="AL32" s="426">
        <f t="shared" si="7"/>
        <v>0</v>
      </c>
      <c r="AM32" s="426">
        <f t="shared" si="7"/>
        <v>0</v>
      </c>
      <c r="AN32" s="426" t="e">
        <f t="shared" si="8"/>
        <v>#VALUE!</v>
      </c>
      <c r="AO32" s="426" t="e">
        <f t="shared" si="8"/>
        <v>#VALUE!</v>
      </c>
      <c r="AP32" s="427" t="e">
        <f t="shared" si="17"/>
        <v>#VALUE!</v>
      </c>
      <c r="AQ32" s="162">
        <f t="shared" si="16"/>
        <v>18</v>
      </c>
    </row>
    <row r="33" spans="1:43" x14ac:dyDescent="0.2">
      <c r="A33" s="95"/>
      <c r="B33" s="554"/>
      <c r="C33" s="474" t="str">
        <f t="shared" si="9"/>
        <v/>
      </c>
      <c r="D33" s="282" t="str">
        <f>IF(ISNUMBER(MATCH(C33,NDAWN!$A$6:$A$237,0))=TRUE,(VLOOKUP(C33,NDAWN!$A$6:$K$237,9,FALSE)),(""))</f>
        <v/>
      </c>
      <c r="E33" s="282" t="str">
        <f>IF(ISNUMBER(MATCH(C33,NDAWN!$A$6:$A$237,0))=TRUE,(VLOOKUP(C33,NDAWN!$A$6:$K$237,11,FALSE)),(""))</f>
        <v/>
      </c>
      <c r="F33" s="116">
        <f>IFERROR(VLOOKUP(C33,'Net Irrigation Calculator'!$A$10:$G$26,7,FALSE),(0))</f>
        <v>0</v>
      </c>
      <c r="G33" s="475" t="str">
        <f>IF(ISNUMBER(MATCH(C33,'Moisture Sensors (tensiometer)'!$AF$9:$AF$19,0))=TRUE,(VLOOKUP(C33,'Moisture Sensors (tensiometer)'!$AF$9:$AG$19,2)),(IF(D33="","",IF($D$9&gt;=G32,+G32-D33+E33+F33,$D$9))))</f>
        <v/>
      </c>
      <c r="H33" s="423" t="str">
        <f t="shared" si="10"/>
        <v/>
      </c>
      <c r="I33" s="554"/>
      <c r="J33" s="474" t="str">
        <f t="shared" si="11"/>
        <v/>
      </c>
      <c r="K33" s="282" t="str">
        <f>IF(ISNUMBER(MATCH(J33,NDAWN!$A$6:$A$237,0))=TRUE,(VLOOKUP(J33,NDAWN!$A$6:$K$237,9,FALSE)),(""))</f>
        <v/>
      </c>
      <c r="L33" s="282" t="str">
        <f>IF(ISNUMBER(MATCH(J33,NDAWN!$A$6:$A$237,0))=TRUE,(VLOOKUP(J33,NDAWN!$A$6:$K$237,11,FALSE)),(""))</f>
        <v/>
      </c>
      <c r="M33" s="143">
        <f>IFERROR(VLOOKUP(J33,'Net Irrigation Calculator'!$A$10:$G$26,7,FALSE),(0))</f>
        <v>0</v>
      </c>
      <c r="N33" s="483" t="str">
        <f>IF(ISNUMBER(MATCH(J33,'Moisture Sensors (tensiometer)'!$AF$9:$AF$19,0))=TRUE,(VLOOKUP(J33,'Moisture Sensors (tensiometer)'!$AF$9:$AG$19,2)),(IF(K33="","",IF($D$9&gt;=N32,+N32-K33+L33+M33,$D$9))))</f>
        <v/>
      </c>
      <c r="O33" s="424" t="str">
        <f t="shared" si="0"/>
        <v/>
      </c>
      <c r="Q33" s="54"/>
      <c r="R33" s="551"/>
      <c r="S33" s="496" t="str">
        <f t="shared" si="12"/>
        <v/>
      </c>
      <c r="T33" s="497" t="str">
        <f t="shared" si="1"/>
        <v/>
      </c>
      <c r="U33" s="498" t="str">
        <f t="shared" si="2"/>
        <v/>
      </c>
      <c r="V33" s="117"/>
      <c r="W33" s="526" t="str">
        <f t="shared" si="14"/>
        <v/>
      </c>
      <c r="X33" s="425" t="str">
        <f t="shared" si="3"/>
        <v/>
      </c>
      <c r="Y33" s="551"/>
      <c r="Z33" s="496" t="str">
        <f t="shared" si="13"/>
        <v/>
      </c>
      <c r="AA33" s="497" t="str">
        <f t="shared" si="4"/>
        <v/>
      </c>
      <c r="AB33" s="498" t="str">
        <f t="shared" si="5"/>
        <v/>
      </c>
      <c r="AC33" s="118"/>
      <c r="AD33" s="522" t="str">
        <f t="shared" si="15"/>
        <v/>
      </c>
      <c r="AE33" s="425" t="str">
        <f t="shared" si="6"/>
        <v/>
      </c>
      <c r="AL33" s="426">
        <f t="shared" si="7"/>
        <v>0</v>
      </c>
      <c r="AM33" s="426">
        <f t="shared" si="7"/>
        <v>0</v>
      </c>
      <c r="AN33" s="426" t="e">
        <f t="shared" si="8"/>
        <v>#VALUE!</v>
      </c>
      <c r="AO33" s="426" t="e">
        <f t="shared" si="8"/>
        <v>#VALUE!</v>
      </c>
      <c r="AP33" s="427" t="e">
        <f t="shared" si="17"/>
        <v>#VALUE!</v>
      </c>
      <c r="AQ33" s="162">
        <f t="shared" si="16"/>
        <v>19</v>
      </c>
    </row>
    <row r="34" spans="1:43" x14ac:dyDescent="0.2">
      <c r="A34" s="95"/>
      <c r="B34" s="554"/>
      <c r="C34" s="474" t="str">
        <f t="shared" si="9"/>
        <v/>
      </c>
      <c r="D34" s="282" t="str">
        <f>IF(ISNUMBER(MATCH(C34,NDAWN!$A$6:$A$237,0))=TRUE,(VLOOKUP(C34,NDAWN!$A$6:$K$237,9,FALSE)),(""))</f>
        <v/>
      </c>
      <c r="E34" s="282" t="str">
        <f>IF(ISNUMBER(MATCH(C34,NDAWN!$A$6:$A$237,0))=TRUE,(VLOOKUP(C34,NDAWN!$A$6:$K$237,11,FALSE)),(""))</f>
        <v/>
      </c>
      <c r="F34" s="116">
        <f>IFERROR(VLOOKUP(C34,'Net Irrigation Calculator'!$A$10:$G$26,7,FALSE),(0))</f>
        <v>0</v>
      </c>
      <c r="G34" s="475" t="str">
        <f>IF(ISNUMBER(MATCH(C34,'Moisture Sensors (tensiometer)'!$AF$9:$AF$19,0))=TRUE,(VLOOKUP(C34,'Moisture Sensors (tensiometer)'!$AF$9:$AG$19,2)),(IF(D34="","",IF($D$9&gt;=G33,+G33-D34+E34+F34,$D$9))))</f>
        <v/>
      </c>
      <c r="H34" s="423" t="str">
        <f t="shared" si="10"/>
        <v/>
      </c>
      <c r="I34" s="554"/>
      <c r="J34" s="474" t="str">
        <f t="shared" si="11"/>
        <v/>
      </c>
      <c r="K34" s="282" t="str">
        <f>IF(ISNUMBER(MATCH(J34,NDAWN!$A$6:$A$237,0))=TRUE,(VLOOKUP(J34,NDAWN!$A$6:$K$237,9,FALSE)),(""))</f>
        <v/>
      </c>
      <c r="L34" s="282" t="str">
        <f>IF(ISNUMBER(MATCH(J34,NDAWN!$A$6:$A$237,0))=TRUE,(VLOOKUP(J34,NDAWN!$A$6:$K$237,11,FALSE)),(""))</f>
        <v/>
      </c>
      <c r="M34" s="143">
        <f>IFERROR(VLOOKUP(J34,'Net Irrigation Calculator'!$A$10:$G$26,7,FALSE),(0))</f>
        <v>0</v>
      </c>
      <c r="N34" s="483" t="str">
        <f>IF(ISNUMBER(MATCH(J34,'Moisture Sensors (tensiometer)'!$AF$9:$AF$19,0))=TRUE,(VLOOKUP(J34,'Moisture Sensors (tensiometer)'!$AF$9:$AG$19,2)),(IF(K34="","",IF($D$9&gt;=N33,+N33-K34+L34+M34,$D$9))))</f>
        <v/>
      </c>
      <c r="O34" s="424" t="str">
        <f t="shared" si="0"/>
        <v/>
      </c>
      <c r="Q34" s="54"/>
      <c r="R34" s="551"/>
      <c r="S34" s="496" t="str">
        <f t="shared" si="12"/>
        <v/>
      </c>
      <c r="T34" s="497" t="str">
        <f t="shared" si="1"/>
        <v/>
      </c>
      <c r="U34" s="498" t="str">
        <f t="shared" si="2"/>
        <v/>
      </c>
      <c r="V34" s="117"/>
      <c r="W34" s="526" t="str">
        <f t="shared" si="14"/>
        <v/>
      </c>
      <c r="X34" s="425" t="str">
        <f t="shared" si="3"/>
        <v/>
      </c>
      <c r="Y34" s="551"/>
      <c r="Z34" s="496" t="str">
        <f t="shared" si="13"/>
        <v/>
      </c>
      <c r="AA34" s="497" t="str">
        <f t="shared" si="4"/>
        <v/>
      </c>
      <c r="AB34" s="498" t="str">
        <f t="shared" si="5"/>
        <v/>
      </c>
      <c r="AC34" s="118"/>
      <c r="AD34" s="522" t="str">
        <f t="shared" si="15"/>
        <v/>
      </c>
      <c r="AE34" s="425" t="str">
        <f t="shared" si="6"/>
        <v/>
      </c>
      <c r="AL34" s="426">
        <f t="shared" si="7"/>
        <v>0</v>
      </c>
      <c r="AM34" s="426">
        <f t="shared" si="7"/>
        <v>0</v>
      </c>
      <c r="AN34" s="426" t="e">
        <f t="shared" si="8"/>
        <v>#VALUE!</v>
      </c>
      <c r="AO34" s="426" t="e">
        <f t="shared" si="8"/>
        <v>#VALUE!</v>
      </c>
      <c r="AP34" s="427" t="e">
        <f t="shared" si="17"/>
        <v>#VALUE!</v>
      </c>
      <c r="AQ34" s="162">
        <f t="shared" si="16"/>
        <v>20</v>
      </c>
    </row>
    <row r="35" spans="1:43" ht="13.5" thickBot="1" x14ac:dyDescent="0.25">
      <c r="A35" s="95"/>
      <c r="B35" s="555"/>
      <c r="C35" s="476" t="str">
        <f t="shared" si="9"/>
        <v/>
      </c>
      <c r="D35" s="477" t="str">
        <f>IF(ISNUMBER(MATCH(C35,NDAWN!$A$6:$A$237,0))=TRUE,(VLOOKUP(C35,NDAWN!$A$6:$K$237,9,FALSE)),(""))</f>
        <v/>
      </c>
      <c r="E35" s="477" t="str">
        <f>IF(ISNUMBER(MATCH(C35,NDAWN!$A$6:$A$237,0))=TRUE,(VLOOKUP(C35,NDAWN!$A$6:$K$237,11,FALSE)),(""))</f>
        <v/>
      </c>
      <c r="F35" s="478">
        <f>IFERROR(VLOOKUP(C35,'Net Irrigation Calculator'!$A$10:$G$26,7,FALSE),(0))</f>
        <v>0</v>
      </c>
      <c r="G35" s="524" t="str">
        <f>IF(ISNUMBER(MATCH(C35,'Moisture Sensors (tensiometer)'!$AF$9:$AF$19,0))=TRUE,(VLOOKUP(C35,'Moisture Sensors (tensiometer)'!$AF$9:$AG$19,2)),(IF(D35="","",IF($D$9&gt;=G34,+G34-D35+E35+F35,$D$9))))</f>
        <v/>
      </c>
      <c r="H35" s="423" t="str">
        <f t="shared" si="10"/>
        <v/>
      </c>
      <c r="I35" s="555"/>
      <c r="J35" s="476" t="str">
        <f t="shared" si="11"/>
        <v/>
      </c>
      <c r="K35" s="477" t="str">
        <f>IF(ISNUMBER(MATCH(J35,NDAWN!$A$6:$A$237,0))=TRUE,(VLOOKUP(J35,NDAWN!$A$6:$K$237,9,FALSE)),(""))</f>
        <v/>
      </c>
      <c r="L35" s="477" t="str">
        <f>IF(ISNUMBER(MATCH(J35,NDAWN!$A$6:$A$237,0))=TRUE,(VLOOKUP(J35,NDAWN!$A$6:$K$237,11,FALSE)),(""))</f>
        <v/>
      </c>
      <c r="M35" s="484">
        <f>IFERROR(VLOOKUP(J35,'Net Irrigation Calculator'!$A$10:$G$26,7,FALSE),(0))</f>
        <v>0</v>
      </c>
      <c r="N35" s="485" t="str">
        <f>IF(ISNUMBER(MATCH(J35,'Moisture Sensors (tensiometer)'!$AF$9:$AF$19,0))=TRUE,(VLOOKUP(J35,'Moisture Sensors (tensiometer)'!$AF$9:$AG$19,2)),(IF(K35="","",IF($D$9&gt;=N34,+N34-K35+L35+M35,$D$9))))</f>
        <v/>
      </c>
      <c r="O35" s="424" t="str">
        <f t="shared" si="0"/>
        <v/>
      </c>
      <c r="Q35" s="54"/>
      <c r="R35" s="552"/>
      <c r="S35" s="499" t="str">
        <f t="shared" si="12"/>
        <v/>
      </c>
      <c r="T35" s="500" t="str">
        <f t="shared" si="1"/>
        <v/>
      </c>
      <c r="U35" s="501" t="str">
        <f t="shared" si="2"/>
        <v/>
      </c>
      <c r="V35" s="502"/>
      <c r="W35" s="527" t="str">
        <f t="shared" si="14"/>
        <v/>
      </c>
      <c r="X35" s="425" t="str">
        <f t="shared" si="3"/>
        <v/>
      </c>
      <c r="Y35" s="552"/>
      <c r="Z35" s="499" t="str">
        <f t="shared" si="13"/>
        <v/>
      </c>
      <c r="AA35" s="500" t="str">
        <f t="shared" si="4"/>
        <v/>
      </c>
      <c r="AB35" s="501" t="str">
        <f t="shared" si="5"/>
        <v/>
      </c>
      <c r="AC35" s="507"/>
      <c r="AD35" s="523" t="str">
        <f t="shared" si="15"/>
        <v/>
      </c>
      <c r="AE35" s="425" t="str">
        <f t="shared" si="6"/>
        <v/>
      </c>
      <c r="AL35" s="426">
        <f t="shared" ref="AL35:AM54" si="18">+$D$9</f>
        <v>0</v>
      </c>
      <c r="AM35" s="426">
        <f t="shared" si="18"/>
        <v>0</v>
      </c>
      <c r="AN35" s="426" t="e">
        <f t="shared" ref="AN35:AO54" si="19">+$W$12</f>
        <v>#VALUE!</v>
      </c>
      <c r="AO35" s="426" t="e">
        <f t="shared" si="19"/>
        <v>#VALUE!</v>
      </c>
      <c r="AP35" s="427" t="e">
        <f t="shared" si="17"/>
        <v>#VALUE!</v>
      </c>
      <c r="AQ35" s="162">
        <f t="shared" si="16"/>
        <v>21</v>
      </c>
    </row>
    <row r="36" spans="1:43" ht="13.5" customHeight="1" x14ac:dyDescent="0.2">
      <c r="A36" s="95"/>
      <c r="B36" s="553" t="e">
        <f>IF($D$5="","",HLOOKUP('IWM Evaluation'!$D$5,'General Information'!$O$2:$U$26,5,FALSE))</f>
        <v>#N/A</v>
      </c>
      <c r="C36" s="480" t="str">
        <f t="shared" si="9"/>
        <v/>
      </c>
      <c r="D36" s="471" t="str">
        <f>IF(ISNUMBER(MATCH(C36,NDAWN!$A$6:$A$237,0))=TRUE,(VLOOKUP(C36,NDAWN!$A$6:$K$237,9,FALSE)),(""))</f>
        <v/>
      </c>
      <c r="E36" s="471" t="str">
        <f>IF(ISNUMBER(MATCH(C36,NDAWN!$A$6:$A$237,0))=TRUE,(VLOOKUP(C36,NDAWN!$A$6:$K$237,11,FALSE)),(""))</f>
        <v/>
      </c>
      <c r="F36" s="472">
        <f>IFERROR(VLOOKUP(C36,'Net Irrigation Calculator'!$A$10:$G$26,7,FALSE),(0))</f>
        <v>0</v>
      </c>
      <c r="G36" s="473" t="str">
        <f>IF(ISNUMBER(MATCH(C36,'Moisture Sensors (tensiometer)'!$AF$9:$AF$19,0))=TRUE,(VLOOKUP(C36,'Moisture Sensors (tensiometer)'!$AF$9:$AG$19,2)),(IF(D36="","",IF($D$9&gt;=G35,+G35-D36+E36+F36,$D$9))))</f>
        <v/>
      </c>
      <c r="H36" s="423" t="str">
        <f t="shared" si="10"/>
        <v/>
      </c>
      <c r="I36" s="553" t="str">
        <f>IF($D$5="","",HLOOKUP('IWM Evaluation'!$D$5,'General Information'!$O$2:$V$26,17,FALSE))</f>
        <v>Week 16</v>
      </c>
      <c r="J36" s="480" t="str">
        <f t="shared" si="11"/>
        <v/>
      </c>
      <c r="K36" s="471" t="str">
        <f>IF(ISNUMBER(MATCH(J36,NDAWN!$A$6:$A$237,0))=TRUE,(VLOOKUP(J36,NDAWN!$A$6:$K$237,9,FALSE)),(""))</f>
        <v/>
      </c>
      <c r="L36" s="471" t="str">
        <f>IF(ISNUMBER(MATCH(J36,NDAWN!$A$6:$A$237,0))=TRUE,(VLOOKUP(J36,NDAWN!$A$6:$K$237,11,FALSE)),(""))</f>
        <v/>
      </c>
      <c r="M36" s="481">
        <f>IFERROR(VLOOKUP(J36,'Net Irrigation Calculator'!$A$10:$G$26,7,FALSE),(0))</f>
        <v>0</v>
      </c>
      <c r="N36" s="482" t="str">
        <f>IF(ISNUMBER(MATCH(J36,'Moisture Sensors (tensiometer)'!$AF$9:$AF$19,0))=TRUE,(VLOOKUP(J36,'Moisture Sensors (tensiometer)'!$AF$9:$AG$19,2)),(IF(K36="","",IF($D$9&gt;=N35,+N35-K36+L36+M36,$D$9))))</f>
        <v/>
      </c>
      <c r="O36" s="424" t="str">
        <f t="shared" si="0"/>
        <v/>
      </c>
      <c r="Q36" s="54"/>
      <c r="R36" s="550" t="e">
        <f>IF($D$5="","",HLOOKUP('IWM Evaluation'!$D$5,'General Information'!$O$2:$U$26,5,FALSE))</f>
        <v>#N/A</v>
      </c>
      <c r="S36" s="503" t="str">
        <f t="shared" si="12"/>
        <v/>
      </c>
      <c r="T36" s="493" t="str">
        <f t="shared" si="1"/>
        <v/>
      </c>
      <c r="U36" s="494" t="str">
        <f t="shared" si="2"/>
        <v/>
      </c>
      <c r="V36" s="495"/>
      <c r="W36" s="525" t="str">
        <f t="shared" si="14"/>
        <v/>
      </c>
      <c r="X36" s="425" t="str">
        <f t="shared" si="3"/>
        <v/>
      </c>
      <c r="Y36" s="550" t="str">
        <f>IF($D$5="","",HLOOKUP('IWM Evaluation'!$D$5,'General Information'!$O$2:$V$26,17,FALSE))</f>
        <v>Week 16</v>
      </c>
      <c r="Z36" s="503" t="str">
        <f t="shared" si="13"/>
        <v/>
      </c>
      <c r="AA36" s="493" t="str">
        <f t="shared" si="4"/>
        <v/>
      </c>
      <c r="AB36" s="494" t="str">
        <f t="shared" si="5"/>
        <v/>
      </c>
      <c r="AC36" s="506"/>
      <c r="AD36" s="521" t="str">
        <f t="shared" si="15"/>
        <v/>
      </c>
      <c r="AE36" s="425" t="str">
        <f t="shared" si="6"/>
        <v/>
      </c>
      <c r="AL36" s="426">
        <f t="shared" si="18"/>
        <v>0</v>
      </c>
      <c r="AM36" s="426">
        <f t="shared" si="18"/>
        <v>0</v>
      </c>
      <c r="AN36" s="426" t="e">
        <f t="shared" si="19"/>
        <v>#VALUE!</v>
      </c>
      <c r="AO36" s="426" t="e">
        <f t="shared" si="19"/>
        <v>#VALUE!</v>
      </c>
      <c r="AP36" s="427" t="e">
        <f t="shared" si="17"/>
        <v>#VALUE!</v>
      </c>
      <c r="AQ36" s="162">
        <f t="shared" si="16"/>
        <v>22</v>
      </c>
    </row>
    <row r="37" spans="1:43" x14ac:dyDescent="0.2">
      <c r="A37" s="95"/>
      <c r="B37" s="554"/>
      <c r="C37" s="474" t="str">
        <f t="shared" si="9"/>
        <v/>
      </c>
      <c r="D37" s="282" t="str">
        <f>IF(ISNUMBER(MATCH(C37,NDAWN!$A$6:$A$237,0))=TRUE,(VLOOKUP(C37,NDAWN!$A$6:$K$237,9,FALSE)),(""))</f>
        <v/>
      </c>
      <c r="E37" s="282" t="str">
        <f>IF(ISNUMBER(MATCH(C37,NDAWN!$A$6:$A$237,0))=TRUE,(VLOOKUP(C37,NDAWN!$A$6:$K$237,11,FALSE)),(""))</f>
        <v/>
      </c>
      <c r="F37" s="116">
        <f>IFERROR(VLOOKUP(C37,'Net Irrigation Calculator'!$A$10:$G$26,7,FALSE),(0))</f>
        <v>0</v>
      </c>
      <c r="G37" s="475" t="str">
        <f>IF(ISNUMBER(MATCH(C37,'Moisture Sensors (tensiometer)'!$AF$9:$AF$19,0))=TRUE,(VLOOKUP(C37,'Moisture Sensors (tensiometer)'!$AF$9:$AG$19,2)),(IF(D37="","",IF($D$9&gt;=G36,+G36-D37+E37+F37,$D$9))))</f>
        <v/>
      </c>
      <c r="H37" s="423" t="str">
        <f t="shared" si="10"/>
        <v/>
      </c>
      <c r="I37" s="554"/>
      <c r="J37" s="474" t="str">
        <f t="shared" si="11"/>
        <v/>
      </c>
      <c r="K37" s="282" t="str">
        <f>IF(ISNUMBER(MATCH(J37,NDAWN!$A$6:$A$237,0))=TRUE,(VLOOKUP(J37,NDAWN!$A$6:$K$237,9,FALSE)),(""))</f>
        <v/>
      </c>
      <c r="L37" s="282" t="str">
        <f>IF(ISNUMBER(MATCH(J37,NDAWN!$A$6:$A$237,0))=TRUE,(VLOOKUP(J37,NDAWN!$A$6:$K$237,11,FALSE)),(""))</f>
        <v/>
      </c>
      <c r="M37" s="143">
        <f>IFERROR(VLOOKUP(J37,'Net Irrigation Calculator'!$A$10:$G$26,7,FALSE),(0))</f>
        <v>0</v>
      </c>
      <c r="N37" s="483" t="str">
        <f>IF(ISNUMBER(MATCH(J37,'Moisture Sensors (tensiometer)'!$AF$9:$AF$19,0))=TRUE,(VLOOKUP(J37,'Moisture Sensors (tensiometer)'!$AF$9:$AG$19,2)),(IF(K37="","",IF($D$9&gt;=N36,+N36-K37+L37+M37,$D$9))))</f>
        <v/>
      </c>
      <c r="O37" s="424" t="str">
        <f t="shared" si="0"/>
        <v/>
      </c>
      <c r="Q37" s="54"/>
      <c r="R37" s="551"/>
      <c r="S37" s="496" t="str">
        <f t="shared" si="12"/>
        <v/>
      </c>
      <c r="T37" s="497" t="str">
        <f t="shared" si="1"/>
        <v/>
      </c>
      <c r="U37" s="498" t="str">
        <f t="shared" si="2"/>
        <v/>
      </c>
      <c r="V37" s="117"/>
      <c r="W37" s="526" t="str">
        <f t="shared" si="14"/>
        <v/>
      </c>
      <c r="X37" s="425" t="str">
        <f t="shared" si="3"/>
        <v/>
      </c>
      <c r="Y37" s="551"/>
      <c r="Z37" s="496" t="str">
        <f t="shared" si="13"/>
        <v/>
      </c>
      <c r="AA37" s="497" t="str">
        <f t="shared" si="4"/>
        <v/>
      </c>
      <c r="AB37" s="498" t="str">
        <f t="shared" si="5"/>
        <v/>
      </c>
      <c r="AC37" s="118"/>
      <c r="AD37" s="522" t="str">
        <f t="shared" si="15"/>
        <v/>
      </c>
      <c r="AE37" s="425" t="str">
        <f t="shared" si="6"/>
        <v/>
      </c>
      <c r="AL37" s="426">
        <f t="shared" si="18"/>
        <v>0</v>
      </c>
      <c r="AM37" s="426">
        <f t="shared" si="18"/>
        <v>0</v>
      </c>
      <c r="AN37" s="426" t="e">
        <f t="shared" si="19"/>
        <v>#VALUE!</v>
      </c>
      <c r="AO37" s="426" t="e">
        <f t="shared" si="19"/>
        <v>#VALUE!</v>
      </c>
      <c r="AP37" s="427" t="e">
        <f t="shared" si="17"/>
        <v>#VALUE!</v>
      </c>
      <c r="AQ37" s="162">
        <f t="shared" si="16"/>
        <v>23</v>
      </c>
    </row>
    <row r="38" spans="1:43" x14ac:dyDescent="0.2">
      <c r="A38" s="95"/>
      <c r="B38" s="554"/>
      <c r="C38" s="474" t="str">
        <f t="shared" si="9"/>
        <v/>
      </c>
      <c r="D38" s="282" t="str">
        <f>IF(ISNUMBER(MATCH(C38,NDAWN!$A$6:$A$237,0))=TRUE,(VLOOKUP(C38,NDAWN!$A$6:$K$237,9,FALSE)),(""))</f>
        <v/>
      </c>
      <c r="E38" s="282" t="str">
        <f>IF(ISNUMBER(MATCH(C38,NDAWN!$A$6:$A$237,0))=TRUE,(VLOOKUP(C38,NDAWN!$A$6:$K$237,11,FALSE)),(""))</f>
        <v/>
      </c>
      <c r="F38" s="116">
        <f>IFERROR(VLOOKUP(C38,'Net Irrigation Calculator'!$A$10:$G$26,7,FALSE),(0))</f>
        <v>0</v>
      </c>
      <c r="G38" s="475" t="str">
        <f>IF(ISNUMBER(MATCH(C38,'Moisture Sensors (tensiometer)'!$AF$9:$AF$19,0))=TRUE,(VLOOKUP(C38,'Moisture Sensors (tensiometer)'!$AF$9:$AG$19,2)),(IF(D38="","",IF($D$9&gt;=G37,+G37-D38+E38+F38,$D$9))))</f>
        <v/>
      </c>
      <c r="H38" s="423" t="str">
        <f t="shared" si="10"/>
        <v/>
      </c>
      <c r="I38" s="554"/>
      <c r="J38" s="474" t="str">
        <f t="shared" si="11"/>
        <v/>
      </c>
      <c r="K38" s="282" t="str">
        <f>IF(ISNUMBER(MATCH(J38,NDAWN!$A$6:$A$237,0))=TRUE,(VLOOKUP(J38,NDAWN!$A$6:$K$237,9,FALSE)),(""))</f>
        <v/>
      </c>
      <c r="L38" s="282" t="str">
        <f>IF(ISNUMBER(MATCH(J38,NDAWN!$A$6:$A$237,0))=TRUE,(VLOOKUP(J38,NDAWN!$A$6:$K$237,11,FALSE)),(""))</f>
        <v/>
      </c>
      <c r="M38" s="143">
        <f>IFERROR(VLOOKUP(J38,'Net Irrigation Calculator'!$A$10:$G$26,7,FALSE),(0))</f>
        <v>0</v>
      </c>
      <c r="N38" s="483" t="str">
        <f>IF(ISNUMBER(MATCH(J38,'Moisture Sensors (tensiometer)'!$AF$9:$AF$19,0))=TRUE,(VLOOKUP(J38,'Moisture Sensors (tensiometer)'!$AF$9:$AG$19,2)),(IF(K38="","",IF($D$9&gt;=N37,+N37-K38+L38+M38,$D$9))))</f>
        <v/>
      </c>
      <c r="O38" s="424" t="str">
        <f t="shared" si="0"/>
        <v/>
      </c>
      <c r="Q38" s="54"/>
      <c r="R38" s="551"/>
      <c r="S38" s="496" t="str">
        <f t="shared" si="12"/>
        <v/>
      </c>
      <c r="T38" s="497" t="str">
        <f t="shared" si="1"/>
        <v/>
      </c>
      <c r="U38" s="498" t="str">
        <f t="shared" si="2"/>
        <v/>
      </c>
      <c r="V38" s="117"/>
      <c r="W38" s="526" t="str">
        <f t="shared" si="14"/>
        <v/>
      </c>
      <c r="X38" s="425" t="str">
        <f t="shared" si="3"/>
        <v/>
      </c>
      <c r="Y38" s="551"/>
      <c r="Z38" s="496" t="str">
        <f t="shared" si="13"/>
        <v/>
      </c>
      <c r="AA38" s="497" t="str">
        <f t="shared" si="4"/>
        <v/>
      </c>
      <c r="AB38" s="498" t="str">
        <f t="shared" si="5"/>
        <v/>
      </c>
      <c r="AC38" s="118"/>
      <c r="AD38" s="522" t="str">
        <f t="shared" si="15"/>
        <v/>
      </c>
      <c r="AE38" s="425" t="str">
        <f t="shared" si="6"/>
        <v/>
      </c>
      <c r="AL38" s="426">
        <f t="shared" si="18"/>
        <v>0</v>
      </c>
      <c r="AM38" s="426">
        <f t="shared" si="18"/>
        <v>0</v>
      </c>
      <c r="AN38" s="426" t="e">
        <f t="shared" si="19"/>
        <v>#VALUE!</v>
      </c>
      <c r="AO38" s="426" t="e">
        <f t="shared" si="19"/>
        <v>#VALUE!</v>
      </c>
      <c r="AP38" s="427" t="e">
        <f t="shared" si="17"/>
        <v>#VALUE!</v>
      </c>
      <c r="AQ38" s="162">
        <f t="shared" si="16"/>
        <v>24</v>
      </c>
    </row>
    <row r="39" spans="1:43" x14ac:dyDescent="0.2">
      <c r="A39" s="95"/>
      <c r="B39" s="554"/>
      <c r="C39" s="474" t="str">
        <f t="shared" si="9"/>
        <v/>
      </c>
      <c r="D39" s="282" t="str">
        <f>IF(ISNUMBER(MATCH(C39,NDAWN!$A$6:$A$237,0))=TRUE,(VLOOKUP(C39,NDAWN!$A$6:$K$237,9,FALSE)),(""))</f>
        <v/>
      </c>
      <c r="E39" s="282" t="str">
        <f>IF(ISNUMBER(MATCH(C39,NDAWN!$A$6:$A$237,0))=TRUE,(VLOOKUP(C39,NDAWN!$A$6:$K$237,11,FALSE)),(""))</f>
        <v/>
      </c>
      <c r="F39" s="116">
        <f>IFERROR(VLOOKUP(C39,'Net Irrigation Calculator'!$A$10:$G$26,7,FALSE),(0))</f>
        <v>0</v>
      </c>
      <c r="G39" s="475" t="str">
        <f>IF(ISNUMBER(MATCH(C39,'Moisture Sensors (tensiometer)'!$AF$9:$AF$19,0))=TRUE,(VLOOKUP(C39,'Moisture Sensors (tensiometer)'!$AF$9:$AG$19,2)),(IF(D39="","",IF($D$9&gt;=G38,+G38-D39+E39+F39,$D$9))))</f>
        <v/>
      </c>
      <c r="H39" s="423" t="str">
        <f t="shared" si="10"/>
        <v/>
      </c>
      <c r="I39" s="554"/>
      <c r="J39" s="474" t="str">
        <f t="shared" si="11"/>
        <v/>
      </c>
      <c r="K39" s="282" t="str">
        <f>IF(ISNUMBER(MATCH(J39,NDAWN!$A$6:$A$237,0))=TRUE,(VLOOKUP(J39,NDAWN!$A$6:$K$237,9,FALSE)),(""))</f>
        <v/>
      </c>
      <c r="L39" s="282" t="str">
        <f>IF(ISNUMBER(MATCH(J39,NDAWN!$A$6:$A$237,0))=TRUE,(VLOOKUP(J39,NDAWN!$A$6:$K$237,11,FALSE)),(""))</f>
        <v/>
      </c>
      <c r="M39" s="143">
        <f>IFERROR(VLOOKUP(J39,'Net Irrigation Calculator'!$A$10:$G$26,7,FALSE),(0))</f>
        <v>0</v>
      </c>
      <c r="N39" s="483" t="str">
        <f>IF(ISNUMBER(MATCH(J39,'Moisture Sensors (tensiometer)'!$AF$9:$AF$19,0))=TRUE,(VLOOKUP(J39,'Moisture Sensors (tensiometer)'!$AF$9:$AG$19,2)),(IF(K39="","",IF($D$9&gt;=N38,+N38-K39+L39+M39,$D$9))))</f>
        <v/>
      </c>
      <c r="O39" s="424" t="str">
        <f t="shared" si="0"/>
        <v/>
      </c>
      <c r="Q39" s="54"/>
      <c r="R39" s="551"/>
      <c r="S39" s="496" t="str">
        <f t="shared" si="12"/>
        <v/>
      </c>
      <c r="T39" s="497" t="str">
        <f t="shared" si="1"/>
        <v/>
      </c>
      <c r="U39" s="498" t="str">
        <f t="shared" si="2"/>
        <v/>
      </c>
      <c r="V39" s="117"/>
      <c r="W39" s="522" t="str">
        <f t="shared" si="14"/>
        <v/>
      </c>
      <c r="X39" s="425" t="str">
        <f t="shared" si="3"/>
        <v/>
      </c>
      <c r="Y39" s="551"/>
      <c r="Z39" s="496" t="str">
        <f t="shared" si="13"/>
        <v/>
      </c>
      <c r="AA39" s="497" t="str">
        <f t="shared" si="4"/>
        <v/>
      </c>
      <c r="AB39" s="498" t="str">
        <f t="shared" si="5"/>
        <v/>
      </c>
      <c r="AC39" s="118"/>
      <c r="AD39" s="522" t="str">
        <f t="shared" si="15"/>
        <v/>
      </c>
      <c r="AE39" s="425" t="str">
        <f t="shared" si="6"/>
        <v/>
      </c>
      <c r="AL39" s="426">
        <f t="shared" si="18"/>
        <v>0</v>
      </c>
      <c r="AM39" s="426">
        <f t="shared" si="18"/>
        <v>0</v>
      </c>
      <c r="AN39" s="426" t="e">
        <f t="shared" si="19"/>
        <v>#VALUE!</v>
      </c>
      <c r="AO39" s="426" t="e">
        <f t="shared" si="19"/>
        <v>#VALUE!</v>
      </c>
      <c r="AP39" s="427" t="e">
        <f t="shared" si="17"/>
        <v>#VALUE!</v>
      </c>
      <c r="AQ39" s="162">
        <f t="shared" si="16"/>
        <v>25</v>
      </c>
    </row>
    <row r="40" spans="1:43" x14ac:dyDescent="0.2">
      <c r="A40" s="95"/>
      <c r="B40" s="554"/>
      <c r="C40" s="474" t="str">
        <f t="shared" si="9"/>
        <v/>
      </c>
      <c r="D40" s="282" t="str">
        <f>IF(ISNUMBER(MATCH(C40,NDAWN!$A$6:$A$237,0))=TRUE,(VLOOKUP(C40,NDAWN!$A$6:$K$237,9,FALSE)),(""))</f>
        <v/>
      </c>
      <c r="E40" s="282" t="str">
        <f>IF(ISNUMBER(MATCH(C40,NDAWN!$A$6:$A$237,0))=TRUE,(VLOOKUP(C40,NDAWN!$A$6:$K$237,11,FALSE)),(""))</f>
        <v/>
      </c>
      <c r="F40" s="116">
        <f>IFERROR(VLOOKUP(C40,'Net Irrigation Calculator'!$A$10:$G$26,7,FALSE),(0))</f>
        <v>0</v>
      </c>
      <c r="G40" s="475" t="str">
        <f>IF(ISNUMBER(MATCH(C40,'Moisture Sensors (tensiometer)'!$AF$9:$AF$19,0))=TRUE,(VLOOKUP(C40,'Moisture Sensors (tensiometer)'!$AF$9:$AG$19,2)),(IF(D40="","",IF($D$9&gt;=G39,+G39-D40+E40+F40,$D$9))))</f>
        <v/>
      </c>
      <c r="H40" s="423" t="str">
        <f t="shared" si="10"/>
        <v/>
      </c>
      <c r="I40" s="554"/>
      <c r="J40" s="474" t="str">
        <f t="shared" si="11"/>
        <v/>
      </c>
      <c r="K40" s="282" t="str">
        <f>IF(ISNUMBER(MATCH(J40,NDAWN!$A$6:$A$237,0))=TRUE,(VLOOKUP(J40,NDAWN!$A$6:$K$237,9,FALSE)),(""))</f>
        <v/>
      </c>
      <c r="L40" s="282" t="str">
        <f>IF(ISNUMBER(MATCH(J40,NDAWN!$A$6:$A$237,0))=TRUE,(VLOOKUP(J40,NDAWN!$A$6:$K$237,11,FALSE)),(""))</f>
        <v/>
      </c>
      <c r="M40" s="143">
        <f>IFERROR(VLOOKUP(J40,'Net Irrigation Calculator'!$A$10:$G$26,7,FALSE),(0))</f>
        <v>0</v>
      </c>
      <c r="N40" s="483" t="str">
        <f>IF(ISNUMBER(MATCH(J40,'Moisture Sensors (tensiometer)'!$AF$9:$AF$19,0))=TRUE,(VLOOKUP(J40,'Moisture Sensors (tensiometer)'!$AF$9:$AG$19,2)),(IF(K40="","",IF($D$9&gt;=N39,+N39-K40+L40+M40,$D$9))))</f>
        <v/>
      </c>
      <c r="O40" s="424" t="str">
        <f t="shared" si="0"/>
        <v/>
      </c>
      <c r="Q40" s="54"/>
      <c r="R40" s="551"/>
      <c r="S40" s="496" t="str">
        <f t="shared" si="12"/>
        <v/>
      </c>
      <c r="T40" s="497" t="str">
        <f t="shared" si="1"/>
        <v/>
      </c>
      <c r="U40" s="498" t="str">
        <f t="shared" si="2"/>
        <v/>
      </c>
      <c r="V40" s="117"/>
      <c r="W40" s="526" t="str">
        <f t="shared" si="14"/>
        <v/>
      </c>
      <c r="X40" s="425" t="str">
        <f t="shared" si="3"/>
        <v/>
      </c>
      <c r="Y40" s="551"/>
      <c r="Z40" s="496" t="str">
        <f t="shared" si="13"/>
        <v/>
      </c>
      <c r="AA40" s="497" t="str">
        <f t="shared" si="4"/>
        <v/>
      </c>
      <c r="AB40" s="498" t="str">
        <f t="shared" si="5"/>
        <v/>
      </c>
      <c r="AC40" s="118"/>
      <c r="AD40" s="522" t="str">
        <f t="shared" si="15"/>
        <v/>
      </c>
      <c r="AE40" s="425" t="str">
        <f t="shared" si="6"/>
        <v/>
      </c>
      <c r="AL40" s="426">
        <f t="shared" si="18"/>
        <v>0</v>
      </c>
      <c r="AM40" s="426">
        <f t="shared" si="18"/>
        <v>0</v>
      </c>
      <c r="AN40" s="426" t="e">
        <f t="shared" si="19"/>
        <v>#VALUE!</v>
      </c>
      <c r="AO40" s="426" t="e">
        <f t="shared" si="19"/>
        <v>#VALUE!</v>
      </c>
      <c r="AP40" s="427" t="e">
        <f t="shared" si="17"/>
        <v>#VALUE!</v>
      </c>
      <c r="AQ40" s="162">
        <f t="shared" si="16"/>
        <v>26</v>
      </c>
    </row>
    <row r="41" spans="1:43" x14ac:dyDescent="0.2">
      <c r="A41" s="95"/>
      <c r="B41" s="554"/>
      <c r="C41" s="474" t="str">
        <f t="shared" si="9"/>
        <v/>
      </c>
      <c r="D41" s="282" t="str">
        <f>IF(ISNUMBER(MATCH(C41,NDAWN!$A$6:$A$237,0))=TRUE,(VLOOKUP(C41,NDAWN!$A$6:$K$237,9,FALSE)),(""))</f>
        <v/>
      </c>
      <c r="E41" s="282" t="str">
        <f>IF(ISNUMBER(MATCH(C41,NDAWN!$A$6:$A$237,0))=TRUE,(VLOOKUP(C41,NDAWN!$A$6:$K$237,11,FALSE)),(""))</f>
        <v/>
      </c>
      <c r="F41" s="116">
        <f>IFERROR(VLOOKUP(C41,'Net Irrigation Calculator'!$A$10:$G$26,7,FALSE),(0))</f>
        <v>0</v>
      </c>
      <c r="G41" s="475" t="str">
        <f>IF(ISNUMBER(MATCH(C41,'Moisture Sensors (tensiometer)'!$AF$9:$AF$19,0))=TRUE,(VLOOKUP(C41,'Moisture Sensors (tensiometer)'!$AF$9:$AG$19,2)),(IF(D41="","",IF($D$9&gt;=G40,+G40-D41+E41+F41,$D$9))))</f>
        <v/>
      </c>
      <c r="H41" s="423" t="str">
        <f t="shared" si="10"/>
        <v/>
      </c>
      <c r="I41" s="554"/>
      <c r="J41" s="474" t="str">
        <f t="shared" si="11"/>
        <v/>
      </c>
      <c r="K41" s="282" t="str">
        <f>IF(ISNUMBER(MATCH(J41,NDAWN!$A$6:$A$237,0))=TRUE,(VLOOKUP(J41,NDAWN!$A$6:$K$237,9,FALSE)),(""))</f>
        <v/>
      </c>
      <c r="L41" s="282" t="str">
        <f>IF(ISNUMBER(MATCH(J41,NDAWN!$A$6:$A$237,0))=TRUE,(VLOOKUP(J41,NDAWN!$A$6:$K$237,11,FALSE)),(""))</f>
        <v/>
      </c>
      <c r="M41" s="143">
        <f>IFERROR(VLOOKUP(J41,'Net Irrigation Calculator'!$A$10:$G$26,7,FALSE),(0))</f>
        <v>0</v>
      </c>
      <c r="N41" s="483" t="str">
        <f>IF(ISNUMBER(MATCH(J41,'Moisture Sensors (tensiometer)'!$AF$9:$AF$19,0))=TRUE,(VLOOKUP(J41,'Moisture Sensors (tensiometer)'!$AF$9:$AG$19,2)),(IF(K41="","",IF($D$9&gt;=N40,+N40-K41+L41+M41,$D$9))))</f>
        <v/>
      </c>
      <c r="O41" s="424" t="str">
        <f t="shared" si="0"/>
        <v/>
      </c>
      <c r="Q41" s="54"/>
      <c r="R41" s="551"/>
      <c r="S41" s="496" t="str">
        <f t="shared" si="12"/>
        <v/>
      </c>
      <c r="T41" s="497" t="str">
        <f t="shared" si="1"/>
        <v/>
      </c>
      <c r="U41" s="498" t="str">
        <f t="shared" si="2"/>
        <v/>
      </c>
      <c r="V41" s="117"/>
      <c r="W41" s="526" t="str">
        <f t="shared" si="14"/>
        <v/>
      </c>
      <c r="X41" s="425" t="str">
        <f t="shared" si="3"/>
        <v/>
      </c>
      <c r="Y41" s="551"/>
      <c r="Z41" s="496" t="str">
        <f t="shared" si="13"/>
        <v/>
      </c>
      <c r="AA41" s="497" t="str">
        <f t="shared" si="4"/>
        <v/>
      </c>
      <c r="AB41" s="498" t="str">
        <f t="shared" si="5"/>
        <v/>
      </c>
      <c r="AC41" s="118"/>
      <c r="AD41" s="522" t="str">
        <f t="shared" si="15"/>
        <v/>
      </c>
      <c r="AE41" s="425" t="str">
        <f t="shared" si="6"/>
        <v/>
      </c>
      <c r="AL41" s="426">
        <f t="shared" si="18"/>
        <v>0</v>
      </c>
      <c r="AM41" s="426">
        <f t="shared" si="18"/>
        <v>0</v>
      </c>
      <c r="AN41" s="426" t="e">
        <f t="shared" si="19"/>
        <v>#VALUE!</v>
      </c>
      <c r="AO41" s="426" t="e">
        <f t="shared" si="19"/>
        <v>#VALUE!</v>
      </c>
      <c r="AP41" s="427" t="e">
        <f t="shared" si="17"/>
        <v>#VALUE!</v>
      </c>
      <c r="AQ41" s="162">
        <f t="shared" si="16"/>
        <v>27</v>
      </c>
    </row>
    <row r="42" spans="1:43" ht="13.5" thickBot="1" x14ac:dyDescent="0.25">
      <c r="A42" s="95"/>
      <c r="B42" s="555"/>
      <c r="C42" s="476" t="str">
        <f t="shared" si="9"/>
        <v/>
      </c>
      <c r="D42" s="477" t="str">
        <f>IF(ISNUMBER(MATCH(C42,NDAWN!$A$6:$A$237,0))=TRUE,(VLOOKUP(C42,NDAWN!$A$6:$K$237,9,FALSE)),(""))</f>
        <v/>
      </c>
      <c r="E42" s="477" t="str">
        <f>IF(ISNUMBER(MATCH(C42,NDAWN!$A$6:$A$237,0))=TRUE,(VLOOKUP(C42,NDAWN!$A$6:$K$237,11,FALSE)),(""))</f>
        <v/>
      </c>
      <c r="F42" s="478">
        <f>IFERROR(VLOOKUP(C42,'Net Irrigation Calculator'!$A$10:$G$26,7,FALSE),(0))</f>
        <v>0</v>
      </c>
      <c r="G42" s="524" t="str">
        <f>IF(ISNUMBER(MATCH(C42,'Moisture Sensors (tensiometer)'!$AF$9:$AF$19,0))=TRUE,(VLOOKUP(C42,'Moisture Sensors (tensiometer)'!$AF$9:$AG$19,2)),(IF(D42="","",IF($D$9&gt;=G41,+G41-D42+E42+F42,$D$9))))</f>
        <v/>
      </c>
      <c r="H42" s="423" t="str">
        <f t="shared" si="10"/>
        <v/>
      </c>
      <c r="I42" s="555"/>
      <c r="J42" s="476" t="str">
        <f t="shared" si="11"/>
        <v/>
      </c>
      <c r="K42" s="477" t="str">
        <f>IF(ISNUMBER(MATCH(J42,NDAWN!$A$6:$A$237,0))=TRUE,(VLOOKUP(J42,NDAWN!$A$6:$K$237,9,FALSE)),(""))</f>
        <v/>
      </c>
      <c r="L42" s="477" t="str">
        <f>IF(ISNUMBER(MATCH(J42,NDAWN!$A$6:$A$237,0))=TRUE,(VLOOKUP(J42,NDAWN!$A$6:$K$237,11,FALSE)),(""))</f>
        <v/>
      </c>
      <c r="M42" s="484">
        <f>IFERROR(VLOOKUP(J42,'Net Irrigation Calculator'!$A$10:$G$26,7,FALSE),(0))</f>
        <v>0</v>
      </c>
      <c r="N42" s="485" t="str">
        <f>IF(ISNUMBER(MATCH(J42,'Moisture Sensors (tensiometer)'!$AF$9:$AF$19,0))=TRUE,(VLOOKUP(J42,'Moisture Sensors (tensiometer)'!$AF$9:$AG$19,2)),(IF(K42="","",IF($D$9&gt;=N41,+N41-K42+L42+M42,$D$9))))</f>
        <v/>
      </c>
      <c r="O42" s="424" t="str">
        <f t="shared" si="0"/>
        <v/>
      </c>
      <c r="Q42" s="54"/>
      <c r="R42" s="552"/>
      <c r="S42" s="499" t="str">
        <f t="shared" si="12"/>
        <v/>
      </c>
      <c r="T42" s="500" t="str">
        <f t="shared" si="1"/>
        <v/>
      </c>
      <c r="U42" s="501" t="str">
        <f t="shared" si="2"/>
        <v/>
      </c>
      <c r="V42" s="502"/>
      <c r="W42" s="527" t="str">
        <f t="shared" si="14"/>
        <v/>
      </c>
      <c r="X42" s="425" t="str">
        <f t="shared" si="3"/>
        <v/>
      </c>
      <c r="Y42" s="552"/>
      <c r="Z42" s="499" t="str">
        <f t="shared" si="13"/>
        <v/>
      </c>
      <c r="AA42" s="500" t="str">
        <f t="shared" si="4"/>
        <v/>
      </c>
      <c r="AB42" s="501" t="str">
        <f t="shared" si="5"/>
        <v/>
      </c>
      <c r="AC42" s="507"/>
      <c r="AD42" s="523" t="str">
        <f t="shared" si="15"/>
        <v/>
      </c>
      <c r="AE42" s="425" t="str">
        <f t="shared" si="6"/>
        <v/>
      </c>
      <c r="AL42" s="426">
        <f t="shared" si="18"/>
        <v>0</v>
      </c>
      <c r="AM42" s="426">
        <f t="shared" si="18"/>
        <v>0</v>
      </c>
      <c r="AN42" s="426" t="e">
        <f t="shared" si="19"/>
        <v>#VALUE!</v>
      </c>
      <c r="AO42" s="426" t="e">
        <f t="shared" si="19"/>
        <v>#VALUE!</v>
      </c>
      <c r="AP42" s="427" t="e">
        <f t="shared" si="17"/>
        <v>#VALUE!</v>
      </c>
      <c r="AQ42" s="162">
        <f t="shared" si="16"/>
        <v>28</v>
      </c>
    </row>
    <row r="43" spans="1:43" ht="13.5" customHeight="1" x14ac:dyDescent="0.2">
      <c r="A43" s="95"/>
      <c r="B43" s="553" t="str">
        <f>IF($D$5="","",HLOOKUP('IWM Evaluation'!$D$5,'General Information'!$O$2:$V$26,6,FALSE))</f>
        <v>Week 5</v>
      </c>
      <c r="C43" s="480" t="str">
        <f t="shared" si="9"/>
        <v/>
      </c>
      <c r="D43" s="471" t="str">
        <f>IF(ISNUMBER(MATCH(C43,NDAWN!$A$6:$A$237,0))=TRUE,(VLOOKUP(C43,NDAWN!$A$6:$K$237,9,FALSE)),(""))</f>
        <v/>
      </c>
      <c r="E43" s="471" t="str">
        <f>IF(ISNUMBER(MATCH(C43,NDAWN!$A$6:$A$237,0))=TRUE,(VLOOKUP(C43,NDAWN!$A$6:$K$237,11,FALSE)),(""))</f>
        <v/>
      </c>
      <c r="F43" s="472">
        <f>IFERROR(VLOOKUP(C43,'Net Irrigation Calculator'!$A$10:$G$26,7,FALSE),(0))</f>
        <v>0</v>
      </c>
      <c r="G43" s="473" t="str">
        <f>IF(ISNUMBER(MATCH(C43,'Moisture Sensors (tensiometer)'!$AF$9:$AF$19,0))=TRUE,(VLOOKUP(C43,'Moisture Sensors (tensiometer)'!$AF$9:$AG$19,2)),(IF(D43="","",IF($D$9&gt;=G42,+G42-D43+E43+F43,$D$9))))</f>
        <v/>
      </c>
      <c r="H43" s="423" t="str">
        <f t="shared" si="10"/>
        <v/>
      </c>
      <c r="I43" s="553" t="str">
        <f>IF($D$5="","",HLOOKUP('IWM Evaluation'!$D$5,'General Information'!$O$2:$V$26,18,FALSE))</f>
        <v>Week 17</v>
      </c>
      <c r="J43" s="480" t="str">
        <f t="shared" si="11"/>
        <v/>
      </c>
      <c r="K43" s="471" t="str">
        <f>IF(ISNUMBER(MATCH(J43,NDAWN!$A$6:$A$237,0))=TRUE,(VLOOKUP(J43,NDAWN!$A$6:$K$237,9,FALSE)),(""))</f>
        <v/>
      </c>
      <c r="L43" s="471" t="str">
        <f>IF(ISNUMBER(MATCH(J43,NDAWN!$A$6:$A$237,0))=TRUE,(VLOOKUP(J43,NDAWN!$A$6:$K$237,11,FALSE)),(""))</f>
        <v/>
      </c>
      <c r="M43" s="481">
        <f>IFERROR(VLOOKUP(J43,'Net Irrigation Calculator'!$A$10:$G$26,7,FALSE),(0))</f>
        <v>0</v>
      </c>
      <c r="N43" s="482" t="str">
        <f>IF(ISNUMBER(MATCH(J43,'Moisture Sensors (tensiometer)'!$AF$9:$AF$19,0))=TRUE,(VLOOKUP(J43,'Moisture Sensors (tensiometer)'!$AF$9:$AG$19,2)),(IF(K43="","",IF($D$9&gt;=N42,+N42-K43+L43+M43,$D$9))))</f>
        <v/>
      </c>
      <c r="O43" s="424" t="str">
        <f t="shared" si="0"/>
        <v/>
      </c>
      <c r="Q43" s="54"/>
      <c r="R43" s="550" t="str">
        <f>IF($D$5="","",HLOOKUP('IWM Evaluation'!$D$5,'General Information'!$O$2:$V$26,6,FALSE))</f>
        <v>Week 5</v>
      </c>
      <c r="S43" s="503" t="str">
        <f t="shared" si="12"/>
        <v/>
      </c>
      <c r="T43" s="493" t="str">
        <f t="shared" si="1"/>
        <v/>
      </c>
      <c r="U43" s="494" t="str">
        <f t="shared" si="2"/>
        <v/>
      </c>
      <c r="V43" s="495"/>
      <c r="W43" s="525" t="str">
        <f t="shared" si="14"/>
        <v/>
      </c>
      <c r="X43" s="425" t="str">
        <f t="shared" si="3"/>
        <v/>
      </c>
      <c r="Y43" s="550" t="str">
        <f>IF($D$5="","",HLOOKUP('IWM Evaluation'!$D$5,'General Information'!$O$2:$V$26,18,FALSE))</f>
        <v>Week 17</v>
      </c>
      <c r="Z43" s="503" t="str">
        <f t="shared" si="13"/>
        <v/>
      </c>
      <c r="AA43" s="493" t="str">
        <f t="shared" si="4"/>
        <v/>
      </c>
      <c r="AB43" s="494" t="str">
        <f t="shared" si="5"/>
        <v/>
      </c>
      <c r="AC43" s="506"/>
      <c r="AD43" s="521" t="str">
        <f t="shared" si="15"/>
        <v/>
      </c>
      <c r="AE43" s="425" t="str">
        <f t="shared" si="6"/>
        <v/>
      </c>
      <c r="AL43" s="426">
        <f t="shared" si="18"/>
        <v>0</v>
      </c>
      <c r="AM43" s="426">
        <f t="shared" si="18"/>
        <v>0</v>
      </c>
      <c r="AN43" s="426" t="e">
        <f t="shared" si="19"/>
        <v>#VALUE!</v>
      </c>
      <c r="AO43" s="426" t="e">
        <f t="shared" si="19"/>
        <v>#VALUE!</v>
      </c>
      <c r="AP43" s="427" t="e">
        <f t="shared" si="17"/>
        <v>#VALUE!</v>
      </c>
      <c r="AQ43" s="162">
        <f t="shared" si="16"/>
        <v>29</v>
      </c>
    </row>
    <row r="44" spans="1:43" x14ac:dyDescent="0.2">
      <c r="A44" s="95"/>
      <c r="B44" s="554"/>
      <c r="C44" s="474" t="str">
        <f t="shared" si="9"/>
        <v/>
      </c>
      <c r="D44" s="282" t="str">
        <f>IF(ISNUMBER(MATCH(C44,NDAWN!$A$6:$A$237,0))=TRUE,(VLOOKUP(C44,NDAWN!$A$6:$K$237,9,FALSE)),(""))</f>
        <v/>
      </c>
      <c r="E44" s="282" t="str">
        <f>IF(ISNUMBER(MATCH(C44,NDAWN!$A$6:$A$237,0))=TRUE,(VLOOKUP(C44,NDAWN!$A$6:$K$237,11,FALSE)),(""))</f>
        <v/>
      </c>
      <c r="F44" s="116">
        <f>IFERROR(VLOOKUP(C44,'Net Irrigation Calculator'!$A$10:$G$26,7,FALSE),(0))</f>
        <v>0</v>
      </c>
      <c r="G44" s="475" t="str">
        <f>IF(ISNUMBER(MATCH(C44,'Moisture Sensors (tensiometer)'!$AF$9:$AF$19,0))=TRUE,(VLOOKUP(C44,'Moisture Sensors (tensiometer)'!$AF$9:$AG$19,2)),(IF(D44="","",IF($D$9&gt;=G43,+G43-D44+E44+F44,$D$9))))</f>
        <v/>
      </c>
      <c r="H44" s="423" t="str">
        <f t="shared" si="10"/>
        <v/>
      </c>
      <c r="I44" s="554"/>
      <c r="J44" s="474" t="str">
        <f t="shared" si="11"/>
        <v/>
      </c>
      <c r="K44" s="282" t="str">
        <f>IF(ISNUMBER(MATCH(J44,NDAWN!$A$6:$A$237,0))=TRUE,(VLOOKUP(J44,NDAWN!$A$6:$K$237,9,FALSE)),(""))</f>
        <v/>
      </c>
      <c r="L44" s="282" t="str">
        <f>IF(ISNUMBER(MATCH(J44,NDAWN!$A$6:$A$237,0))=TRUE,(VLOOKUP(J44,NDAWN!$A$6:$K$237,11,FALSE)),(""))</f>
        <v/>
      </c>
      <c r="M44" s="143">
        <f>IFERROR(VLOOKUP(J44,'Net Irrigation Calculator'!$A$10:$G$26,7,FALSE),(0))</f>
        <v>0</v>
      </c>
      <c r="N44" s="483" t="str">
        <f>IF(ISNUMBER(MATCH(J44,'Moisture Sensors (tensiometer)'!$AF$9:$AF$19,0))=TRUE,(VLOOKUP(J44,'Moisture Sensors (tensiometer)'!$AF$9:$AG$19,2)),(IF(K44="","",IF($D$9&gt;=N43,+N43-K44+L44+M44,$D$9))))</f>
        <v/>
      </c>
      <c r="O44" s="424" t="str">
        <f t="shared" si="0"/>
        <v/>
      </c>
      <c r="Q44" s="54"/>
      <c r="R44" s="551"/>
      <c r="S44" s="496" t="str">
        <f t="shared" si="12"/>
        <v/>
      </c>
      <c r="T44" s="497" t="str">
        <f t="shared" si="1"/>
        <v/>
      </c>
      <c r="U44" s="498" t="str">
        <f t="shared" si="2"/>
        <v/>
      </c>
      <c r="V44" s="117"/>
      <c r="W44" s="526" t="str">
        <f t="shared" si="14"/>
        <v/>
      </c>
      <c r="X44" s="425" t="str">
        <f t="shared" si="3"/>
        <v/>
      </c>
      <c r="Y44" s="551"/>
      <c r="Z44" s="496" t="str">
        <f t="shared" si="13"/>
        <v/>
      </c>
      <c r="AA44" s="497" t="str">
        <f t="shared" si="4"/>
        <v/>
      </c>
      <c r="AB44" s="498" t="str">
        <f t="shared" si="5"/>
        <v/>
      </c>
      <c r="AC44" s="118"/>
      <c r="AD44" s="522" t="str">
        <f t="shared" si="15"/>
        <v/>
      </c>
      <c r="AE44" s="425" t="str">
        <f t="shared" si="6"/>
        <v/>
      </c>
      <c r="AL44" s="426">
        <f t="shared" si="18"/>
        <v>0</v>
      </c>
      <c r="AM44" s="426">
        <f t="shared" si="18"/>
        <v>0</v>
      </c>
      <c r="AN44" s="426" t="e">
        <f t="shared" si="19"/>
        <v>#VALUE!</v>
      </c>
      <c r="AO44" s="426" t="e">
        <f t="shared" si="19"/>
        <v>#VALUE!</v>
      </c>
      <c r="AP44" s="427" t="e">
        <f t="shared" si="17"/>
        <v>#VALUE!</v>
      </c>
      <c r="AQ44" s="162">
        <f t="shared" si="16"/>
        <v>30</v>
      </c>
    </row>
    <row r="45" spans="1:43" x14ac:dyDescent="0.2">
      <c r="A45" s="95"/>
      <c r="B45" s="554"/>
      <c r="C45" s="474" t="str">
        <f t="shared" si="9"/>
        <v/>
      </c>
      <c r="D45" s="282" t="str">
        <f>IF(ISNUMBER(MATCH(C45,NDAWN!$A$6:$A$237,0))=TRUE,(VLOOKUP(C45,NDAWN!$A$6:$K$237,9,FALSE)),(""))</f>
        <v/>
      </c>
      <c r="E45" s="282" t="str">
        <f>IF(ISNUMBER(MATCH(C45,NDAWN!$A$6:$A$237,0))=TRUE,(VLOOKUP(C45,NDAWN!$A$6:$K$237,11,FALSE)),(""))</f>
        <v/>
      </c>
      <c r="F45" s="116">
        <f>IFERROR(VLOOKUP(C45,'Net Irrigation Calculator'!$A$10:$G$26,7,FALSE),(0))</f>
        <v>0</v>
      </c>
      <c r="G45" s="475" t="str">
        <f>IF(ISNUMBER(MATCH(C45,'Moisture Sensors (tensiometer)'!$AF$9:$AF$19,0))=TRUE,(VLOOKUP(C45,'Moisture Sensors (tensiometer)'!$AF$9:$AG$19,2)),(IF(D45="","",IF($D$9&gt;=G44,+G44-D45+E45+F45,$D$9))))</f>
        <v/>
      </c>
      <c r="H45" s="423" t="str">
        <f t="shared" si="10"/>
        <v/>
      </c>
      <c r="I45" s="554"/>
      <c r="J45" s="474" t="str">
        <f t="shared" si="11"/>
        <v/>
      </c>
      <c r="K45" s="282" t="str">
        <f>IF(ISNUMBER(MATCH(J45,NDAWN!$A$6:$A$237,0))=TRUE,(VLOOKUP(J45,NDAWN!$A$6:$K$237,9,FALSE)),(""))</f>
        <v/>
      </c>
      <c r="L45" s="282" t="str">
        <f>IF(ISNUMBER(MATCH(J45,NDAWN!$A$6:$A$237,0))=TRUE,(VLOOKUP(J45,NDAWN!$A$6:$K$237,11,FALSE)),(""))</f>
        <v/>
      </c>
      <c r="M45" s="143">
        <f>IFERROR(VLOOKUP(J45,'Net Irrigation Calculator'!$A$10:$G$26,7,FALSE),(0))</f>
        <v>0</v>
      </c>
      <c r="N45" s="483" t="str">
        <f>IF(ISNUMBER(MATCH(J45,'Moisture Sensors (tensiometer)'!$AF$9:$AF$19,0))=TRUE,(VLOOKUP(J45,'Moisture Sensors (tensiometer)'!$AF$9:$AG$19,2)),(IF(K45="","",IF($D$9&gt;=N44,+N44-K45+L45+M45,$D$9))))</f>
        <v/>
      </c>
      <c r="O45" s="424" t="str">
        <f t="shared" si="0"/>
        <v/>
      </c>
      <c r="Q45" s="54"/>
      <c r="R45" s="551"/>
      <c r="S45" s="496" t="str">
        <f t="shared" si="12"/>
        <v/>
      </c>
      <c r="T45" s="497" t="str">
        <f t="shared" si="1"/>
        <v/>
      </c>
      <c r="U45" s="498" t="str">
        <f t="shared" si="2"/>
        <v/>
      </c>
      <c r="V45" s="117"/>
      <c r="W45" s="526" t="str">
        <f t="shared" si="14"/>
        <v/>
      </c>
      <c r="X45" s="425" t="str">
        <f t="shared" si="3"/>
        <v/>
      </c>
      <c r="Y45" s="551"/>
      <c r="Z45" s="496" t="str">
        <f t="shared" si="13"/>
        <v/>
      </c>
      <c r="AA45" s="497" t="str">
        <f t="shared" si="4"/>
        <v/>
      </c>
      <c r="AB45" s="498" t="str">
        <f t="shared" si="5"/>
        <v/>
      </c>
      <c r="AC45" s="118"/>
      <c r="AD45" s="522" t="str">
        <f t="shared" si="15"/>
        <v/>
      </c>
      <c r="AE45" s="425" t="str">
        <f t="shared" si="6"/>
        <v/>
      </c>
      <c r="AL45" s="426">
        <f t="shared" si="18"/>
        <v>0</v>
      </c>
      <c r="AM45" s="426">
        <f t="shared" si="18"/>
        <v>0</v>
      </c>
      <c r="AN45" s="426" t="e">
        <f t="shared" si="19"/>
        <v>#VALUE!</v>
      </c>
      <c r="AO45" s="426" t="e">
        <f t="shared" si="19"/>
        <v>#VALUE!</v>
      </c>
      <c r="AP45" s="427" t="e">
        <f t="shared" si="17"/>
        <v>#VALUE!</v>
      </c>
      <c r="AQ45" s="162">
        <f t="shared" si="16"/>
        <v>31</v>
      </c>
    </row>
    <row r="46" spans="1:43" x14ac:dyDescent="0.2">
      <c r="A46" s="95"/>
      <c r="B46" s="554"/>
      <c r="C46" s="474" t="str">
        <f t="shared" si="9"/>
        <v/>
      </c>
      <c r="D46" s="282" t="str">
        <f>IF(ISNUMBER(MATCH(C46,NDAWN!$A$6:$A$237,0))=TRUE,(VLOOKUP(C46,NDAWN!$A$6:$K$237,9,FALSE)),(""))</f>
        <v/>
      </c>
      <c r="E46" s="282" t="str">
        <f>IF(ISNUMBER(MATCH(C46,NDAWN!$A$6:$A$237,0))=TRUE,(VLOOKUP(C46,NDAWN!$A$6:$K$237,11,FALSE)),(""))</f>
        <v/>
      </c>
      <c r="F46" s="116">
        <f>IFERROR(VLOOKUP(C46,'Net Irrigation Calculator'!$A$10:$G$26,7,FALSE),(0))</f>
        <v>0</v>
      </c>
      <c r="G46" s="475" t="str">
        <f>IF(ISNUMBER(MATCH(C46,'Moisture Sensors (tensiometer)'!$AF$9:$AF$19,0))=TRUE,(VLOOKUP(C46,'Moisture Sensors (tensiometer)'!$AF$9:$AG$19,2)),(IF(D46="","",IF($D$9&gt;=G45,+G45-D46+E46+F46,$D$9))))</f>
        <v/>
      </c>
      <c r="H46" s="423" t="str">
        <f t="shared" si="10"/>
        <v/>
      </c>
      <c r="I46" s="554"/>
      <c r="J46" s="474" t="str">
        <f t="shared" si="11"/>
        <v/>
      </c>
      <c r="K46" s="282" t="str">
        <f>IF(ISNUMBER(MATCH(J46,NDAWN!$A$6:$A$237,0))=TRUE,(VLOOKUP(J46,NDAWN!$A$6:$K$237,9,FALSE)),(""))</f>
        <v/>
      </c>
      <c r="L46" s="282" t="str">
        <f>IF(ISNUMBER(MATCH(J46,NDAWN!$A$6:$A$237,0))=TRUE,(VLOOKUP(J46,NDAWN!$A$6:$K$237,11,FALSE)),(""))</f>
        <v/>
      </c>
      <c r="M46" s="143">
        <f>IFERROR(VLOOKUP(J46,'Net Irrigation Calculator'!$A$10:$G$26,7,FALSE),(0))</f>
        <v>0</v>
      </c>
      <c r="N46" s="483" t="str">
        <f>IF(ISNUMBER(MATCH(J46,'Moisture Sensors (tensiometer)'!$AF$9:$AF$19,0))=TRUE,(VLOOKUP(J46,'Moisture Sensors (tensiometer)'!$AF$9:$AG$19,2)),(IF(K46="","",IF($D$9&gt;=N45,+N45-K46+L46+M46,$D$9))))</f>
        <v/>
      </c>
      <c r="O46" s="424" t="str">
        <f t="shared" si="0"/>
        <v/>
      </c>
      <c r="Q46" s="54"/>
      <c r="R46" s="551"/>
      <c r="S46" s="496" t="str">
        <f t="shared" si="12"/>
        <v/>
      </c>
      <c r="T46" s="497" t="str">
        <f t="shared" si="1"/>
        <v/>
      </c>
      <c r="U46" s="498" t="str">
        <f t="shared" si="2"/>
        <v/>
      </c>
      <c r="V46" s="117"/>
      <c r="W46" s="522" t="str">
        <f t="shared" si="14"/>
        <v/>
      </c>
      <c r="X46" s="425" t="str">
        <f t="shared" si="3"/>
        <v/>
      </c>
      <c r="Y46" s="551"/>
      <c r="Z46" s="496" t="str">
        <f t="shared" si="13"/>
        <v/>
      </c>
      <c r="AA46" s="497" t="str">
        <f t="shared" si="4"/>
        <v/>
      </c>
      <c r="AB46" s="498" t="str">
        <f t="shared" si="5"/>
        <v/>
      </c>
      <c r="AC46" s="118"/>
      <c r="AD46" s="522" t="str">
        <f t="shared" si="15"/>
        <v/>
      </c>
      <c r="AE46" s="425" t="str">
        <f t="shared" si="6"/>
        <v/>
      </c>
      <c r="AL46" s="426">
        <f t="shared" si="18"/>
        <v>0</v>
      </c>
      <c r="AM46" s="426">
        <f t="shared" si="18"/>
        <v>0</v>
      </c>
      <c r="AN46" s="426" t="e">
        <f t="shared" si="19"/>
        <v>#VALUE!</v>
      </c>
      <c r="AO46" s="426" t="e">
        <f t="shared" si="19"/>
        <v>#VALUE!</v>
      </c>
      <c r="AP46" s="427" t="e">
        <f t="shared" si="17"/>
        <v>#VALUE!</v>
      </c>
      <c r="AQ46" s="162">
        <f t="shared" si="16"/>
        <v>32</v>
      </c>
    </row>
    <row r="47" spans="1:43" x14ac:dyDescent="0.2">
      <c r="A47" s="95"/>
      <c r="B47" s="554"/>
      <c r="C47" s="474" t="str">
        <f t="shared" si="9"/>
        <v/>
      </c>
      <c r="D47" s="282" t="str">
        <f>IF(ISNUMBER(MATCH(C47,NDAWN!$A$6:$A$237,0))=TRUE,(VLOOKUP(C47,NDAWN!$A$6:$K$237,9,FALSE)),(""))</f>
        <v/>
      </c>
      <c r="E47" s="282" t="str">
        <f>IF(ISNUMBER(MATCH(C47,NDAWN!$A$6:$A$237,0))=TRUE,(VLOOKUP(C47,NDAWN!$A$6:$K$237,11,FALSE)),(""))</f>
        <v/>
      </c>
      <c r="F47" s="116">
        <f>IFERROR(VLOOKUP(C47,'Net Irrigation Calculator'!$A$10:$G$26,7,FALSE),(0))</f>
        <v>0</v>
      </c>
      <c r="G47" s="475" t="str">
        <f>IF(ISNUMBER(MATCH(C47,'Moisture Sensors (tensiometer)'!$AF$9:$AF$19,0))=TRUE,(VLOOKUP(C47,'Moisture Sensors (tensiometer)'!$AF$9:$AG$19,2)),(IF(D47="","",IF($D$9&gt;=G46,+G46-D47+E47+F47,$D$9))))</f>
        <v/>
      </c>
      <c r="H47" s="423" t="str">
        <f t="shared" ref="H47:H78" si="20">IF(+G47="","",IF(G47&lt;=+$D$9,IF(G47&lt;$E$12,"Below MAD Level",""),"Runoff or Deep Percolation"))</f>
        <v/>
      </c>
      <c r="I47" s="554"/>
      <c r="J47" s="474" t="str">
        <f t="shared" si="11"/>
        <v/>
      </c>
      <c r="K47" s="282" t="str">
        <f>IF(ISNUMBER(MATCH(J47,NDAWN!$A$6:$A$237,0))=TRUE,(VLOOKUP(J47,NDAWN!$A$6:$K$237,9,FALSE)),(""))</f>
        <v/>
      </c>
      <c r="L47" s="282" t="str">
        <f>IF(ISNUMBER(MATCH(J47,NDAWN!$A$6:$A$237,0))=TRUE,(VLOOKUP(J47,NDAWN!$A$6:$K$237,11,FALSE)),(""))</f>
        <v/>
      </c>
      <c r="M47" s="143">
        <f>IFERROR(VLOOKUP(J47,'Net Irrigation Calculator'!$A$10:$G$26,7,FALSE),(0))</f>
        <v>0</v>
      </c>
      <c r="N47" s="483" t="str">
        <f>IF(ISNUMBER(MATCH(J47,'Moisture Sensors (tensiometer)'!$AF$9:$AF$19,0))=TRUE,(VLOOKUP(J47,'Moisture Sensors (tensiometer)'!$AF$9:$AG$19,2)),(IF(K47="","",IF($D$9&gt;=N46,+N46-K47+L47+M47,$D$9))))</f>
        <v/>
      </c>
      <c r="O47" s="424" t="str">
        <f t="shared" ref="O47:O78" si="21">IF(+N47="","",IF(N47&lt;=+$D$9,IF(N47&lt;$E$12,"Below MAD Level",""),"Runoff or Deep Percolation"))</f>
        <v/>
      </c>
      <c r="Q47" s="54"/>
      <c r="R47" s="551"/>
      <c r="S47" s="496" t="str">
        <f t="shared" si="12"/>
        <v/>
      </c>
      <c r="T47" s="497" t="str">
        <f t="shared" ref="T47:T78" si="22">+D47</f>
        <v/>
      </c>
      <c r="U47" s="498" t="str">
        <f t="shared" ref="U47:U78" si="23">+E47</f>
        <v/>
      </c>
      <c r="V47" s="117"/>
      <c r="W47" s="526" t="str">
        <f t="shared" si="14"/>
        <v/>
      </c>
      <c r="X47" s="425" t="str">
        <f t="shared" ref="X47:X78" si="24">IF(+W47="","",IF(W47&lt;=+$D$9,IF(W47&lt;$E$12,"Below MAD Level",""),"Runoff or Deep Percolation"))</f>
        <v/>
      </c>
      <c r="Y47" s="551"/>
      <c r="Z47" s="496" t="str">
        <f t="shared" si="13"/>
        <v/>
      </c>
      <c r="AA47" s="497" t="str">
        <f t="shared" ref="AA47:AA78" si="25">+K47</f>
        <v/>
      </c>
      <c r="AB47" s="498" t="str">
        <f t="shared" ref="AB47:AB78" si="26">+L47</f>
        <v/>
      </c>
      <c r="AC47" s="118"/>
      <c r="AD47" s="522" t="str">
        <f t="shared" si="15"/>
        <v/>
      </c>
      <c r="AE47" s="425" t="str">
        <f t="shared" ref="AE47:AE78" si="27">IF(+AD47="","",IF(AD47&lt;=+$D$9,IF(AD47&lt;$E$12,"Below MAD Level",""),"Runoff or Deep Percolation"))</f>
        <v/>
      </c>
      <c r="AL47" s="426">
        <f t="shared" si="18"/>
        <v>0</v>
      </c>
      <c r="AM47" s="426">
        <f t="shared" si="18"/>
        <v>0</v>
      </c>
      <c r="AN47" s="426" t="e">
        <f t="shared" si="19"/>
        <v>#VALUE!</v>
      </c>
      <c r="AO47" s="426" t="e">
        <f t="shared" si="19"/>
        <v>#VALUE!</v>
      </c>
      <c r="AP47" s="427" t="e">
        <f t="shared" si="17"/>
        <v>#VALUE!</v>
      </c>
      <c r="AQ47" s="162">
        <f t="shared" si="16"/>
        <v>33</v>
      </c>
    </row>
    <row r="48" spans="1:43" x14ac:dyDescent="0.2">
      <c r="A48" s="95"/>
      <c r="B48" s="554"/>
      <c r="C48" s="474" t="str">
        <f t="shared" ref="C48:C79" si="28">IF($J$5&gt;0,+C47+1,"")</f>
        <v/>
      </c>
      <c r="D48" s="282" t="str">
        <f>IF(ISNUMBER(MATCH(C48,NDAWN!$A$6:$A$237,0))=TRUE,(VLOOKUP(C48,NDAWN!$A$6:$K$237,9,FALSE)),(""))</f>
        <v/>
      </c>
      <c r="E48" s="282" t="str">
        <f>IF(ISNUMBER(MATCH(C48,NDAWN!$A$6:$A$237,0))=TRUE,(VLOOKUP(C48,NDAWN!$A$6:$K$237,11,FALSE)),(""))</f>
        <v/>
      </c>
      <c r="F48" s="116">
        <f>IFERROR(VLOOKUP(C48,'Net Irrigation Calculator'!$A$10:$G$26,7,FALSE),(0))</f>
        <v>0</v>
      </c>
      <c r="G48" s="475" t="str">
        <f>IF(ISNUMBER(MATCH(C48,'Moisture Sensors (tensiometer)'!$AF$9:$AF$19,0))=TRUE,(VLOOKUP(C48,'Moisture Sensors (tensiometer)'!$AF$9:$AG$19,2)),(IF(D48="","",IF($D$9&gt;=G47,+G47-D48+E48+F48,$D$9))))</f>
        <v/>
      </c>
      <c r="H48" s="423" t="str">
        <f t="shared" si="20"/>
        <v/>
      </c>
      <c r="I48" s="554"/>
      <c r="J48" s="474" t="str">
        <f t="shared" ref="J48:J79" si="29">IF($J$5&gt;0,+J47+1,"")</f>
        <v/>
      </c>
      <c r="K48" s="282" t="str">
        <f>IF(ISNUMBER(MATCH(J48,NDAWN!$A$6:$A$237,0))=TRUE,(VLOOKUP(J48,NDAWN!$A$6:$K$237,9,FALSE)),(""))</f>
        <v/>
      </c>
      <c r="L48" s="282" t="str">
        <f>IF(ISNUMBER(MATCH(J48,NDAWN!$A$6:$A$237,0))=TRUE,(VLOOKUP(J48,NDAWN!$A$6:$K$237,11,FALSE)),(""))</f>
        <v/>
      </c>
      <c r="M48" s="143">
        <f>IFERROR(VLOOKUP(J48,'Net Irrigation Calculator'!$A$10:$G$26,7,FALSE),(0))</f>
        <v>0</v>
      </c>
      <c r="N48" s="483" t="str">
        <f>IF(ISNUMBER(MATCH(J48,'Moisture Sensors (tensiometer)'!$AF$9:$AF$19,0))=TRUE,(VLOOKUP(J48,'Moisture Sensors (tensiometer)'!$AF$9:$AG$19,2)),(IF(K48="","",IF($D$9&gt;=N47,+N47-K48+L48+M48,$D$9))))</f>
        <v/>
      </c>
      <c r="O48" s="424" t="str">
        <f t="shared" si="21"/>
        <v/>
      </c>
      <c r="Q48" s="54"/>
      <c r="R48" s="551"/>
      <c r="S48" s="496" t="str">
        <f t="shared" ref="S48:S79" si="30">IF($J$5&gt;0,+S47+1,"")</f>
        <v/>
      </c>
      <c r="T48" s="497" t="str">
        <f t="shared" si="22"/>
        <v/>
      </c>
      <c r="U48" s="498" t="str">
        <f t="shared" si="23"/>
        <v/>
      </c>
      <c r="V48" s="117"/>
      <c r="W48" s="526" t="str">
        <f t="shared" si="14"/>
        <v/>
      </c>
      <c r="X48" s="425" t="str">
        <f t="shared" si="24"/>
        <v/>
      </c>
      <c r="Y48" s="551"/>
      <c r="Z48" s="496" t="str">
        <f t="shared" ref="Z48:Z79" si="31">IF($J$5&gt;0,+Z47+1,"")</f>
        <v/>
      </c>
      <c r="AA48" s="497" t="str">
        <f t="shared" si="25"/>
        <v/>
      </c>
      <c r="AB48" s="498" t="str">
        <f t="shared" si="26"/>
        <v/>
      </c>
      <c r="AC48" s="118"/>
      <c r="AD48" s="522" t="str">
        <f t="shared" si="15"/>
        <v/>
      </c>
      <c r="AE48" s="425" t="str">
        <f t="shared" si="27"/>
        <v/>
      </c>
      <c r="AL48" s="426">
        <f t="shared" si="18"/>
        <v>0</v>
      </c>
      <c r="AM48" s="426">
        <f t="shared" si="18"/>
        <v>0</v>
      </c>
      <c r="AN48" s="426" t="e">
        <f t="shared" si="19"/>
        <v>#VALUE!</v>
      </c>
      <c r="AO48" s="426" t="e">
        <f t="shared" si="19"/>
        <v>#VALUE!</v>
      </c>
      <c r="AP48" s="427" t="e">
        <f t="shared" si="17"/>
        <v>#VALUE!</v>
      </c>
      <c r="AQ48" s="162">
        <f t="shared" si="16"/>
        <v>34</v>
      </c>
    </row>
    <row r="49" spans="1:43" ht="13.5" thickBot="1" x14ac:dyDescent="0.25">
      <c r="A49" s="95"/>
      <c r="B49" s="555"/>
      <c r="C49" s="476" t="str">
        <f t="shared" si="28"/>
        <v/>
      </c>
      <c r="D49" s="477" t="str">
        <f>IF(ISNUMBER(MATCH(C49,NDAWN!$A$6:$A$237,0))=TRUE,(VLOOKUP(C49,NDAWN!$A$6:$K$237,9,FALSE)),(""))</f>
        <v/>
      </c>
      <c r="E49" s="477" t="str">
        <f>IF(ISNUMBER(MATCH(C49,NDAWN!$A$6:$A$237,0))=TRUE,(VLOOKUP(C49,NDAWN!$A$6:$K$237,11,FALSE)),(""))</f>
        <v/>
      </c>
      <c r="F49" s="478">
        <f>IFERROR(VLOOKUP(C49,'Net Irrigation Calculator'!$A$10:$G$26,7,FALSE),(0))</f>
        <v>0</v>
      </c>
      <c r="G49" s="524" t="str">
        <f>IF(ISNUMBER(MATCH(C49,'Moisture Sensors (tensiometer)'!$AF$9:$AF$19,0))=TRUE,(VLOOKUP(C49,'Moisture Sensors (tensiometer)'!$AF$9:$AG$19,2)),(IF(D49="","",IF($D$9&gt;=G48,+G48-D49+E49+F49,$D$9))))</f>
        <v/>
      </c>
      <c r="H49" s="423" t="str">
        <f t="shared" si="20"/>
        <v/>
      </c>
      <c r="I49" s="555"/>
      <c r="J49" s="476" t="str">
        <f t="shared" si="29"/>
        <v/>
      </c>
      <c r="K49" s="477" t="str">
        <f>IF(ISNUMBER(MATCH(J49,NDAWN!$A$6:$A$237,0))=TRUE,(VLOOKUP(J49,NDAWN!$A$6:$K$237,9,FALSE)),(""))</f>
        <v/>
      </c>
      <c r="L49" s="477" t="str">
        <f>IF(ISNUMBER(MATCH(J49,NDAWN!$A$6:$A$237,0))=TRUE,(VLOOKUP(J49,NDAWN!$A$6:$K$237,11,FALSE)),(""))</f>
        <v/>
      </c>
      <c r="M49" s="484">
        <f>IFERROR(VLOOKUP(J49,'Net Irrigation Calculator'!$A$10:$G$26,7,FALSE),(0))</f>
        <v>0</v>
      </c>
      <c r="N49" s="485" t="str">
        <f>IF(ISNUMBER(MATCH(J49,'Moisture Sensors (tensiometer)'!$AF$9:$AF$19,0))=TRUE,(VLOOKUP(J49,'Moisture Sensors (tensiometer)'!$AF$9:$AG$19,2)),(IF(K49="","",IF($D$9&gt;=N48,+N48-K49+L49+M49,$D$9))))</f>
        <v/>
      </c>
      <c r="O49" s="424" t="str">
        <f t="shared" si="21"/>
        <v/>
      </c>
      <c r="Q49" s="54"/>
      <c r="R49" s="552"/>
      <c r="S49" s="499" t="str">
        <f t="shared" si="30"/>
        <v/>
      </c>
      <c r="T49" s="500" t="str">
        <f t="shared" si="22"/>
        <v/>
      </c>
      <c r="U49" s="501" t="str">
        <f t="shared" si="23"/>
        <v/>
      </c>
      <c r="V49" s="502"/>
      <c r="W49" s="527" t="str">
        <f t="shared" si="14"/>
        <v/>
      </c>
      <c r="X49" s="425" t="str">
        <f t="shared" si="24"/>
        <v/>
      </c>
      <c r="Y49" s="552"/>
      <c r="Z49" s="499" t="str">
        <f t="shared" si="31"/>
        <v/>
      </c>
      <c r="AA49" s="500" t="str">
        <f t="shared" si="25"/>
        <v/>
      </c>
      <c r="AB49" s="501" t="str">
        <f t="shared" si="26"/>
        <v/>
      </c>
      <c r="AC49" s="507"/>
      <c r="AD49" s="523" t="str">
        <f t="shared" si="15"/>
        <v/>
      </c>
      <c r="AE49" s="425" t="str">
        <f t="shared" si="27"/>
        <v/>
      </c>
      <c r="AL49" s="426">
        <f t="shared" si="18"/>
        <v>0</v>
      </c>
      <c r="AM49" s="426">
        <f t="shared" si="18"/>
        <v>0</v>
      </c>
      <c r="AN49" s="426" t="e">
        <f t="shared" si="19"/>
        <v>#VALUE!</v>
      </c>
      <c r="AO49" s="426" t="e">
        <f t="shared" si="19"/>
        <v>#VALUE!</v>
      </c>
      <c r="AP49" s="427" t="e">
        <f t="shared" si="17"/>
        <v>#VALUE!</v>
      </c>
      <c r="AQ49" s="162">
        <f t="shared" si="16"/>
        <v>35</v>
      </c>
    </row>
    <row r="50" spans="1:43" ht="13.5" customHeight="1" x14ac:dyDescent="0.2">
      <c r="A50" s="95"/>
      <c r="B50" s="553" t="str">
        <f>IF($D$5="","",HLOOKUP('IWM Evaluation'!$D$5,'General Information'!$O$2:$V$26,7,FALSE))</f>
        <v>Week 6</v>
      </c>
      <c r="C50" s="480" t="str">
        <f t="shared" si="28"/>
        <v/>
      </c>
      <c r="D50" s="471" t="str">
        <f>IF(ISNUMBER(MATCH(C50,NDAWN!$A$6:$A$237,0))=TRUE,(VLOOKUP(C50,NDAWN!$A$6:$K$237,9,FALSE)),(""))</f>
        <v/>
      </c>
      <c r="E50" s="471" t="str">
        <f>IF(ISNUMBER(MATCH(C50,NDAWN!$A$6:$A$237,0))=TRUE,(VLOOKUP(C50,NDAWN!$A$6:$K$237,11,FALSE)),(""))</f>
        <v/>
      </c>
      <c r="F50" s="472">
        <f>IFERROR(VLOOKUP(C50,'Net Irrigation Calculator'!$A$10:$G$26,7,FALSE),(0))</f>
        <v>0</v>
      </c>
      <c r="G50" s="473" t="str">
        <f>IF(ISNUMBER(MATCH(C50,'Moisture Sensors (tensiometer)'!$AF$9:$AF$19,0))=TRUE,(VLOOKUP(C50,'Moisture Sensors (tensiometer)'!$AF$9:$AG$19,2)),(IF(D50="","",IF($D$9&gt;=G49,+G49-D50+E50+F50,$D$9))))</f>
        <v/>
      </c>
      <c r="H50" s="423" t="str">
        <f t="shared" si="20"/>
        <v/>
      </c>
      <c r="I50" s="553" t="str">
        <f>IF($D$5="","",HLOOKUP('IWM Evaluation'!$D$5,'General Information'!$O$2:$V$26,19,FALSE))</f>
        <v>Week 18</v>
      </c>
      <c r="J50" s="480" t="str">
        <f t="shared" si="29"/>
        <v/>
      </c>
      <c r="K50" s="471" t="str">
        <f>IF(ISNUMBER(MATCH(J50,NDAWN!$A$6:$A$237,0))=TRUE,(VLOOKUP(J50,NDAWN!$A$6:$K$237,9,FALSE)),(""))</f>
        <v/>
      </c>
      <c r="L50" s="471" t="str">
        <f>IF(ISNUMBER(MATCH(J50,NDAWN!$A$6:$A$237,0))=TRUE,(VLOOKUP(J50,NDAWN!$A$6:$K$237,11,FALSE)),(""))</f>
        <v/>
      </c>
      <c r="M50" s="481">
        <f>IFERROR(VLOOKUP(J50,'Net Irrigation Calculator'!$A$10:$G$26,7,FALSE),(0))</f>
        <v>0</v>
      </c>
      <c r="N50" s="482" t="str">
        <f>IF(ISNUMBER(MATCH(J50,'Moisture Sensors (tensiometer)'!$AF$9:$AF$19,0))=TRUE,(VLOOKUP(J50,'Moisture Sensors (tensiometer)'!$AF$9:$AG$19,2)),(IF(K50="","",IF($D$9&gt;=N49,+N49-K50+L50+M50,$D$9))))</f>
        <v/>
      </c>
      <c r="O50" s="424" t="str">
        <f t="shared" si="21"/>
        <v/>
      </c>
      <c r="Q50" s="54"/>
      <c r="R50" s="550" t="str">
        <f>IF($D$5="","",HLOOKUP('IWM Evaluation'!$D$5,'General Information'!$O$2:$V$26,7,FALSE))</f>
        <v>Week 6</v>
      </c>
      <c r="S50" s="503" t="str">
        <f t="shared" si="30"/>
        <v/>
      </c>
      <c r="T50" s="493" t="str">
        <f t="shared" si="22"/>
        <v/>
      </c>
      <c r="U50" s="494" t="str">
        <f t="shared" si="23"/>
        <v/>
      </c>
      <c r="V50" s="495"/>
      <c r="W50" s="525" t="str">
        <f t="shared" si="14"/>
        <v/>
      </c>
      <c r="X50" s="425" t="str">
        <f t="shared" si="24"/>
        <v/>
      </c>
      <c r="Y50" s="550" t="str">
        <f>IF($D$5="","",HLOOKUP('IWM Evaluation'!$D$5,'General Information'!$O$2:$V$26,19,FALSE))</f>
        <v>Week 18</v>
      </c>
      <c r="Z50" s="503" t="str">
        <f t="shared" si="31"/>
        <v/>
      </c>
      <c r="AA50" s="493" t="str">
        <f t="shared" si="25"/>
        <v/>
      </c>
      <c r="AB50" s="494" t="str">
        <f t="shared" si="26"/>
        <v/>
      </c>
      <c r="AC50" s="506"/>
      <c r="AD50" s="521" t="str">
        <f t="shared" si="15"/>
        <v/>
      </c>
      <c r="AE50" s="425" t="str">
        <f t="shared" si="27"/>
        <v/>
      </c>
      <c r="AL50" s="426">
        <f t="shared" si="18"/>
        <v>0</v>
      </c>
      <c r="AM50" s="426">
        <f t="shared" si="18"/>
        <v>0</v>
      </c>
      <c r="AN50" s="426" t="e">
        <f t="shared" si="19"/>
        <v>#VALUE!</v>
      </c>
      <c r="AO50" s="426" t="e">
        <f t="shared" si="19"/>
        <v>#VALUE!</v>
      </c>
      <c r="AP50" s="427" t="e">
        <f t="shared" si="17"/>
        <v>#VALUE!</v>
      </c>
      <c r="AQ50" s="162">
        <f t="shared" si="16"/>
        <v>36</v>
      </c>
    </row>
    <row r="51" spans="1:43" x14ac:dyDescent="0.2">
      <c r="A51" s="95"/>
      <c r="B51" s="554"/>
      <c r="C51" s="474" t="str">
        <f t="shared" si="28"/>
        <v/>
      </c>
      <c r="D51" s="282" t="str">
        <f>IF(ISNUMBER(MATCH(C51,NDAWN!$A$6:$A$237,0))=TRUE,(VLOOKUP(C51,NDAWN!$A$6:$K$237,9,FALSE)),(""))</f>
        <v/>
      </c>
      <c r="E51" s="282" t="str">
        <f>IF(ISNUMBER(MATCH(C51,NDAWN!$A$6:$A$237,0))=TRUE,(VLOOKUP(C51,NDAWN!$A$6:$K$237,11,FALSE)),(""))</f>
        <v/>
      </c>
      <c r="F51" s="116">
        <f>IFERROR(VLOOKUP(C51,'Net Irrigation Calculator'!$A$10:$G$26,7,FALSE),(0))</f>
        <v>0</v>
      </c>
      <c r="G51" s="475" t="str">
        <f>IF(ISNUMBER(MATCH(C51,'Moisture Sensors (tensiometer)'!$AF$9:$AF$19,0))=TRUE,(VLOOKUP(C51,'Moisture Sensors (tensiometer)'!$AF$9:$AG$19,2)),(IF(D51="","",IF($D$9&gt;=G50,+G50-D51+E51+F51,$D$9))))</f>
        <v/>
      </c>
      <c r="H51" s="423" t="str">
        <f t="shared" si="20"/>
        <v/>
      </c>
      <c r="I51" s="554"/>
      <c r="J51" s="474" t="str">
        <f t="shared" si="29"/>
        <v/>
      </c>
      <c r="K51" s="282" t="str">
        <f>IF(ISNUMBER(MATCH(J51,NDAWN!$A$6:$A$237,0))=TRUE,(VLOOKUP(J51,NDAWN!$A$6:$K$237,9,FALSE)),(""))</f>
        <v/>
      </c>
      <c r="L51" s="282" t="str">
        <f>IF(ISNUMBER(MATCH(J51,NDAWN!$A$6:$A$237,0))=TRUE,(VLOOKUP(J51,NDAWN!$A$6:$K$237,11,FALSE)),(""))</f>
        <v/>
      </c>
      <c r="M51" s="143">
        <f>IFERROR(VLOOKUP(J51,'Net Irrigation Calculator'!$A$10:$G$26,7,FALSE),(0))</f>
        <v>0</v>
      </c>
      <c r="N51" s="483" t="str">
        <f>IF(ISNUMBER(MATCH(J51,'Moisture Sensors (tensiometer)'!$AF$9:$AF$19,0))=TRUE,(VLOOKUP(J51,'Moisture Sensors (tensiometer)'!$AF$9:$AG$19,2)),(IF(K51="","",IF($D$9&gt;=N50,+N50-K51+L51+M51,$D$9))))</f>
        <v/>
      </c>
      <c r="O51" s="424" t="str">
        <f t="shared" si="21"/>
        <v/>
      </c>
      <c r="Q51" s="54"/>
      <c r="R51" s="551"/>
      <c r="S51" s="496" t="str">
        <f t="shared" si="30"/>
        <v/>
      </c>
      <c r="T51" s="497" t="str">
        <f t="shared" si="22"/>
        <v/>
      </c>
      <c r="U51" s="498" t="str">
        <f t="shared" si="23"/>
        <v/>
      </c>
      <c r="V51" s="117"/>
      <c r="W51" s="526" t="str">
        <f t="shared" si="14"/>
        <v/>
      </c>
      <c r="X51" s="425" t="str">
        <f t="shared" si="24"/>
        <v/>
      </c>
      <c r="Y51" s="551"/>
      <c r="Z51" s="496" t="str">
        <f t="shared" si="31"/>
        <v/>
      </c>
      <c r="AA51" s="497" t="str">
        <f t="shared" si="25"/>
        <v/>
      </c>
      <c r="AB51" s="498" t="str">
        <f t="shared" si="26"/>
        <v/>
      </c>
      <c r="AC51" s="118"/>
      <c r="AD51" s="522" t="str">
        <f t="shared" si="15"/>
        <v/>
      </c>
      <c r="AE51" s="425" t="str">
        <f t="shared" si="27"/>
        <v/>
      </c>
      <c r="AL51" s="426">
        <f t="shared" si="18"/>
        <v>0</v>
      </c>
      <c r="AM51" s="426">
        <f t="shared" si="18"/>
        <v>0</v>
      </c>
      <c r="AN51" s="426" t="e">
        <f t="shared" si="19"/>
        <v>#VALUE!</v>
      </c>
      <c r="AO51" s="426" t="e">
        <f t="shared" si="19"/>
        <v>#VALUE!</v>
      </c>
      <c r="AP51" s="427" t="e">
        <f t="shared" si="17"/>
        <v>#VALUE!</v>
      </c>
      <c r="AQ51" s="162">
        <f t="shared" si="16"/>
        <v>37</v>
      </c>
    </row>
    <row r="52" spans="1:43" x14ac:dyDescent="0.2">
      <c r="A52" s="95"/>
      <c r="B52" s="554"/>
      <c r="C52" s="474" t="str">
        <f t="shared" si="28"/>
        <v/>
      </c>
      <c r="D52" s="282" t="str">
        <f>IF(ISNUMBER(MATCH(C52,NDAWN!$A$6:$A$237,0))=TRUE,(VLOOKUP(C52,NDAWN!$A$6:$K$237,9,FALSE)),(""))</f>
        <v/>
      </c>
      <c r="E52" s="282" t="str">
        <f>IF(ISNUMBER(MATCH(C52,NDAWN!$A$6:$A$237,0))=TRUE,(VLOOKUP(C52,NDAWN!$A$6:$K$237,11,FALSE)),(""))</f>
        <v/>
      </c>
      <c r="F52" s="116">
        <f>IFERROR(VLOOKUP(C52,'Net Irrigation Calculator'!$A$10:$G$26,7,FALSE),(0))</f>
        <v>0</v>
      </c>
      <c r="G52" s="475" t="str">
        <f>IF(ISNUMBER(MATCH(C52,'Moisture Sensors (tensiometer)'!$AF$9:$AF$19,0))=TRUE,(VLOOKUP(C52,'Moisture Sensors (tensiometer)'!$AF$9:$AG$19,2)),(IF(D52="","",IF($D$9&gt;=G51,+G51-D52+E52+F52,$D$9))))</f>
        <v/>
      </c>
      <c r="H52" s="423" t="str">
        <f t="shared" si="20"/>
        <v/>
      </c>
      <c r="I52" s="554"/>
      <c r="J52" s="474" t="str">
        <f t="shared" si="29"/>
        <v/>
      </c>
      <c r="K52" s="282" t="str">
        <f>IF(ISNUMBER(MATCH(J52,NDAWN!$A$6:$A$237,0))=TRUE,(VLOOKUP(J52,NDAWN!$A$6:$K$237,9,FALSE)),(""))</f>
        <v/>
      </c>
      <c r="L52" s="282" t="str">
        <f>IF(ISNUMBER(MATCH(J52,NDAWN!$A$6:$A$237,0))=TRUE,(VLOOKUP(J52,NDAWN!$A$6:$K$237,11,FALSE)),(""))</f>
        <v/>
      </c>
      <c r="M52" s="143">
        <f>IFERROR(VLOOKUP(J52,'Net Irrigation Calculator'!$A$10:$G$26,7,FALSE),(0))</f>
        <v>0</v>
      </c>
      <c r="N52" s="483" t="str">
        <f>IF(ISNUMBER(MATCH(J52,'Moisture Sensors (tensiometer)'!$AF$9:$AF$19,0))=TRUE,(VLOOKUP(J52,'Moisture Sensors (tensiometer)'!$AF$9:$AG$19,2)),(IF(K52="","",IF($D$9&gt;=N51,+N51-K52+L52+M52,$D$9))))</f>
        <v/>
      </c>
      <c r="O52" s="424" t="str">
        <f t="shared" si="21"/>
        <v/>
      </c>
      <c r="Q52" s="54"/>
      <c r="R52" s="551"/>
      <c r="S52" s="496" t="str">
        <f t="shared" si="30"/>
        <v/>
      </c>
      <c r="T52" s="497" t="str">
        <f t="shared" si="22"/>
        <v/>
      </c>
      <c r="U52" s="498" t="str">
        <f t="shared" si="23"/>
        <v/>
      </c>
      <c r="V52" s="117"/>
      <c r="W52" s="526" t="str">
        <f t="shared" si="14"/>
        <v/>
      </c>
      <c r="X52" s="425" t="str">
        <f t="shared" si="24"/>
        <v/>
      </c>
      <c r="Y52" s="551"/>
      <c r="Z52" s="496" t="str">
        <f t="shared" si="31"/>
        <v/>
      </c>
      <c r="AA52" s="497" t="str">
        <f t="shared" si="25"/>
        <v/>
      </c>
      <c r="AB52" s="498" t="str">
        <f t="shared" si="26"/>
        <v/>
      </c>
      <c r="AC52" s="118"/>
      <c r="AD52" s="522" t="str">
        <f t="shared" si="15"/>
        <v/>
      </c>
      <c r="AE52" s="425" t="str">
        <f t="shared" si="27"/>
        <v/>
      </c>
      <c r="AL52" s="426">
        <f t="shared" si="18"/>
        <v>0</v>
      </c>
      <c r="AM52" s="426">
        <f t="shared" si="18"/>
        <v>0</v>
      </c>
      <c r="AN52" s="426" t="e">
        <f t="shared" si="19"/>
        <v>#VALUE!</v>
      </c>
      <c r="AO52" s="426" t="e">
        <f t="shared" si="19"/>
        <v>#VALUE!</v>
      </c>
      <c r="AP52" s="427" t="e">
        <f t="shared" si="17"/>
        <v>#VALUE!</v>
      </c>
      <c r="AQ52" s="162">
        <f t="shared" si="16"/>
        <v>38</v>
      </c>
    </row>
    <row r="53" spans="1:43" x14ac:dyDescent="0.2">
      <c r="A53" s="95"/>
      <c r="B53" s="554"/>
      <c r="C53" s="474" t="str">
        <f t="shared" si="28"/>
        <v/>
      </c>
      <c r="D53" s="282" t="str">
        <f>IF(ISNUMBER(MATCH(C53,NDAWN!$A$6:$A$237,0))=TRUE,(VLOOKUP(C53,NDAWN!$A$6:$K$237,9,FALSE)),(""))</f>
        <v/>
      </c>
      <c r="E53" s="282" t="str">
        <f>IF(ISNUMBER(MATCH(C53,NDAWN!$A$6:$A$237,0))=TRUE,(VLOOKUP(C53,NDAWN!$A$6:$K$237,11,FALSE)),(""))</f>
        <v/>
      </c>
      <c r="F53" s="116">
        <f>IFERROR(VLOOKUP(C53,'Net Irrigation Calculator'!$A$10:$G$26,7,FALSE),(0))</f>
        <v>0</v>
      </c>
      <c r="G53" s="475" t="str">
        <f>IF(ISNUMBER(MATCH(C53,'Moisture Sensors (tensiometer)'!$AF$9:$AF$19,0))=TRUE,(VLOOKUP(C53,'Moisture Sensors (tensiometer)'!$AF$9:$AG$19,2)),(IF(D53="","",IF($D$9&gt;=G52,+G52-D53+E53+F53,$D$9))))</f>
        <v/>
      </c>
      <c r="H53" s="423" t="str">
        <f t="shared" si="20"/>
        <v/>
      </c>
      <c r="I53" s="554"/>
      <c r="J53" s="474" t="str">
        <f t="shared" si="29"/>
        <v/>
      </c>
      <c r="K53" s="282" t="str">
        <f>IF(ISNUMBER(MATCH(J53,NDAWN!$A$6:$A$237,0))=TRUE,(VLOOKUP(J53,NDAWN!$A$6:$K$237,9,FALSE)),(""))</f>
        <v/>
      </c>
      <c r="L53" s="282" t="str">
        <f>IF(ISNUMBER(MATCH(J53,NDAWN!$A$6:$A$237,0))=TRUE,(VLOOKUP(J53,NDAWN!$A$6:$K$237,11,FALSE)),(""))</f>
        <v/>
      </c>
      <c r="M53" s="143">
        <f>IFERROR(VLOOKUP(J53,'Net Irrigation Calculator'!$A$10:$G$26,7,FALSE),(0))</f>
        <v>0</v>
      </c>
      <c r="N53" s="483" t="str">
        <f>IF(ISNUMBER(MATCH(J53,'Moisture Sensors (tensiometer)'!$AF$9:$AF$19,0))=TRUE,(VLOOKUP(J53,'Moisture Sensors (tensiometer)'!$AF$9:$AG$19,2)),(IF(K53="","",IF($D$9&gt;=N52,+N52-K53+L53+M53,$D$9))))</f>
        <v/>
      </c>
      <c r="O53" s="424" t="str">
        <f t="shared" si="21"/>
        <v/>
      </c>
      <c r="Q53" s="54"/>
      <c r="R53" s="551"/>
      <c r="S53" s="496" t="str">
        <f t="shared" si="30"/>
        <v/>
      </c>
      <c r="T53" s="497" t="str">
        <f t="shared" si="22"/>
        <v/>
      </c>
      <c r="U53" s="498" t="str">
        <f t="shared" si="23"/>
        <v/>
      </c>
      <c r="V53" s="117"/>
      <c r="W53" s="522" t="str">
        <f t="shared" si="14"/>
        <v/>
      </c>
      <c r="X53" s="425" t="str">
        <f t="shared" si="24"/>
        <v/>
      </c>
      <c r="Y53" s="551"/>
      <c r="Z53" s="496" t="str">
        <f t="shared" si="31"/>
        <v/>
      </c>
      <c r="AA53" s="497" t="str">
        <f t="shared" si="25"/>
        <v/>
      </c>
      <c r="AB53" s="498" t="str">
        <f t="shared" si="26"/>
        <v/>
      </c>
      <c r="AC53" s="118"/>
      <c r="AD53" s="522" t="str">
        <f t="shared" si="15"/>
        <v/>
      </c>
      <c r="AE53" s="425" t="str">
        <f t="shared" si="27"/>
        <v/>
      </c>
      <c r="AL53" s="426">
        <f t="shared" si="18"/>
        <v>0</v>
      </c>
      <c r="AM53" s="426">
        <f t="shared" si="18"/>
        <v>0</v>
      </c>
      <c r="AN53" s="426" t="e">
        <f t="shared" si="19"/>
        <v>#VALUE!</v>
      </c>
      <c r="AO53" s="426" t="e">
        <f t="shared" si="19"/>
        <v>#VALUE!</v>
      </c>
      <c r="AP53" s="427" t="e">
        <f t="shared" si="17"/>
        <v>#VALUE!</v>
      </c>
      <c r="AQ53" s="162">
        <f t="shared" si="16"/>
        <v>39</v>
      </c>
    </row>
    <row r="54" spans="1:43" x14ac:dyDescent="0.2">
      <c r="A54" s="95"/>
      <c r="B54" s="554"/>
      <c r="C54" s="474" t="str">
        <f t="shared" si="28"/>
        <v/>
      </c>
      <c r="D54" s="282" t="str">
        <f>IF(ISNUMBER(MATCH(C54,NDAWN!$A$6:$A$237,0))=TRUE,(VLOOKUP(C54,NDAWN!$A$6:$K$237,9,FALSE)),(""))</f>
        <v/>
      </c>
      <c r="E54" s="282" t="str">
        <f>IF(ISNUMBER(MATCH(C54,NDAWN!$A$6:$A$237,0))=TRUE,(VLOOKUP(C54,NDAWN!$A$6:$K$237,11,FALSE)),(""))</f>
        <v/>
      </c>
      <c r="F54" s="116">
        <f>IFERROR(VLOOKUP(C54,'Net Irrigation Calculator'!$A$10:$G$26,7,FALSE),(0))</f>
        <v>0</v>
      </c>
      <c r="G54" s="475" t="str">
        <f>IF(ISNUMBER(MATCH(C54,'Moisture Sensors (tensiometer)'!$AF$9:$AF$19,0))=TRUE,(VLOOKUP(C54,'Moisture Sensors (tensiometer)'!$AF$9:$AG$19,2)),(IF(D54="","",IF($D$9&gt;=G53,+G53-D54+E54+F54,$D$9))))</f>
        <v/>
      </c>
      <c r="H54" s="423" t="str">
        <f t="shared" si="20"/>
        <v/>
      </c>
      <c r="I54" s="554"/>
      <c r="J54" s="474" t="str">
        <f t="shared" si="29"/>
        <v/>
      </c>
      <c r="K54" s="282" t="str">
        <f>IF(ISNUMBER(MATCH(J54,NDAWN!$A$6:$A$237,0))=TRUE,(VLOOKUP(J54,NDAWN!$A$6:$K$237,9,FALSE)),(""))</f>
        <v/>
      </c>
      <c r="L54" s="282" t="str">
        <f>IF(ISNUMBER(MATCH(J54,NDAWN!$A$6:$A$237,0))=TRUE,(VLOOKUP(J54,NDAWN!$A$6:$K$237,11,FALSE)),(""))</f>
        <v/>
      </c>
      <c r="M54" s="143">
        <f>IFERROR(VLOOKUP(J54,'Net Irrigation Calculator'!$A$10:$G$26,7,FALSE),(0))</f>
        <v>0</v>
      </c>
      <c r="N54" s="483" t="str">
        <f>IF(ISNUMBER(MATCH(J54,'Moisture Sensors (tensiometer)'!$AF$9:$AF$19,0))=TRUE,(VLOOKUP(J54,'Moisture Sensors (tensiometer)'!$AF$9:$AG$19,2)),(IF(K54="","",IF($D$9&gt;=N53,+N53-K54+L54+M54,$D$9))))</f>
        <v/>
      </c>
      <c r="O54" s="424" t="str">
        <f t="shared" si="21"/>
        <v/>
      </c>
      <c r="Q54" s="54"/>
      <c r="R54" s="551"/>
      <c r="S54" s="496" t="str">
        <f t="shared" si="30"/>
        <v/>
      </c>
      <c r="T54" s="497" t="str">
        <f t="shared" si="22"/>
        <v/>
      </c>
      <c r="U54" s="498" t="str">
        <f t="shared" si="23"/>
        <v/>
      </c>
      <c r="V54" s="117"/>
      <c r="W54" s="526" t="str">
        <f t="shared" si="14"/>
        <v/>
      </c>
      <c r="X54" s="425" t="str">
        <f t="shared" si="24"/>
        <v/>
      </c>
      <c r="Y54" s="551"/>
      <c r="Z54" s="496" t="str">
        <f t="shared" si="31"/>
        <v/>
      </c>
      <c r="AA54" s="497" t="str">
        <f t="shared" si="25"/>
        <v/>
      </c>
      <c r="AB54" s="498" t="str">
        <f t="shared" si="26"/>
        <v/>
      </c>
      <c r="AC54" s="118"/>
      <c r="AD54" s="522" t="str">
        <f t="shared" si="15"/>
        <v/>
      </c>
      <c r="AE54" s="425" t="str">
        <f t="shared" si="27"/>
        <v/>
      </c>
      <c r="AL54" s="426">
        <f t="shared" si="18"/>
        <v>0</v>
      </c>
      <c r="AM54" s="426">
        <f t="shared" si="18"/>
        <v>0</v>
      </c>
      <c r="AN54" s="426" t="e">
        <f t="shared" si="19"/>
        <v>#VALUE!</v>
      </c>
      <c r="AO54" s="426" t="e">
        <f t="shared" si="19"/>
        <v>#VALUE!</v>
      </c>
      <c r="AP54" s="427" t="e">
        <f t="shared" si="17"/>
        <v>#VALUE!</v>
      </c>
      <c r="AQ54" s="162">
        <f t="shared" si="16"/>
        <v>40</v>
      </c>
    </row>
    <row r="55" spans="1:43" x14ac:dyDescent="0.2">
      <c r="A55" s="95"/>
      <c r="B55" s="554"/>
      <c r="C55" s="474" t="str">
        <f t="shared" si="28"/>
        <v/>
      </c>
      <c r="D55" s="282" t="str">
        <f>IF(ISNUMBER(MATCH(C55,NDAWN!$A$6:$A$237,0))=TRUE,(VLOOKUP(C55,NDAWN!$A$6:$K$237,9,FALSE)),(""))</f>
        <v/>
      </c>
      <c r="E55" s="282" t="str">
        <f>IF(ISNUMBER(MATCH(C55,NDAWN!$A$6:$A$237,0))=TRUE,(VLOOKUP(C55,NDAWN!$A$6:$K$237,11,FALSE)),(""))</f>
        <v/>
      </c>
      <c r="F55" s="116">
        <f>IFERROR(VLOOKUP(C55,'Net Irrigation Calculator'!$A$10:$G$26,7,FALSE),(0))</f>
        <v>0</v>
      </c>
      <c r="G55" s="475" t="str">
        <f>IF(ISNUMBER(MATCH(C55,'Moisture Sensors (tensiometer)'!$AF$9:$AF$19,0))=TRUE,(VLOOKUP(C55,'Moisture Sensors (tensiometer)'!$AF$9:$AG$19,2)),(IF(D55="","",IF($D$9&gt;=G54,+G54-D55+E55+F55,$D$9))))</f>
        <v/>
      </c>
      <c r="H55" s="423" t="str">
        <f t="shared" si="20"/>
        <v/>
      </c>
      <c r="I55" s="554"/>
      <c r="J55" s="474" t="str">
        <f t="shared" si="29"/>
        <v/>
      </c>
      <c r="K55" s="282" t="str">
        <f>IF(ISNUMBER(MATCH(J55,NDAWN!$A$6:$A$237,0))=TRUE,(VLOOKUP(J55,NDAWN!$A$6:$K$237,9,FALSE)),(""))</f>
        <v/>
      </c>
      <c r="L55" s="282" t="str">
        <f>IF(ISNUMBER(MATCH(J55,NDAWN!$A$6:$A$237,0))=TRUE,(VLOOKUP(J55,NDAWN!$A$6:$K$237,11,FALSE)),(""))</f>
        <v/>
      </c>
      <c r="M55" s="143">
        <f>IFERROR(VLOOKUP(J55,'Net Irrigation Calculator'!$A$10:$G$26,7,FALSE),(0))</f>
        <v>0</v>
      </c>
      <c r="N55" s="483" t="str">
        <f>IF(ISNUMBER(MATCH(J55,'Moisture Sensors (tensiometer)'!$AF$9:$AF$19,0))=TRUE,(VLOOKUP(J55,'Moisture Sensors (tensiometer)'!$AF$9:$AG$19,2)),(IF(K55="","",IF($D$9&gt;=N54,+N54-K55+L55+M55,$D$9))))</f>
        <v/>
      </c>
      <c r="O55" s="424" t="str">
        <f t="shared" si="21"/>
        <v/>
      </c>
      <c r="Q55" s="54"/>
      <c r="R55" s="551"/>
      <c r="S55" s="496" t="str">
        <f t="shared" si="30"/>
        <v/>
      </c>
      <c r="T55" s="497" t="str">
        <f t="shared" si="22"/>
        <v/>
      </c>
      <c r="U55" s="498" t="str">
        <f t="shared" si="23"/>
        <v/>
      </c>
      <c r="V55" s="117"/>
      <c r="W55" s="526" t="str">
        <f t="shared" si="14"/>
        <v/>
      </c>
      <c r="X55" s="425" t="str">
        <f t="shared" si="24"/>
        <v/>
      </c>
      <c r="Y55" s="551"/>
      <c r="Z55" s="496" t="str">
        <f t="shared" si="31"/>
        <v/>
      </c>
      <c r="AA55" s="497" t="str">
        <f t="shared" si="25"/>
        <v/>
      </c>
      <c r="AB55" s="498" t="str">
        <f t="shared" si="26"/>
        <v/>
      </c>
      <c r="AC55" s="118"/>
      <c r="AD55" s="522" t="str">
        <f t="shared" si="15"/>
        <v/>
      </c>
      <c r="AE55" s="425" t="str">
        <f t="shared" si="27"/>
        <v/>
      </c>
      <c r="AL55" s="426">
        <f t="shared" ref="AL55:AM74" si="32">+$D$9</f>
        <v>0</v>
      </c>
      <c r="AM55" s="426">
        <f t="shared" si="32"/>
        <v>0</v>
      </c>
      <c r="AN55" s="426" t="e">
        <f t="shared" ref="AN55:AO74" si="33">+$W$12</f>
        <v>#VALUE!</v>
      </c>
      <c r="AO55" s="426" t="e">
        <f t="shared" si="33"/>
        <v>#VALUE!</v>
      </c>
      <c r="AP55" s="427" t="e">
        <f t="shared" si="17"/>
        <v>#VALUE!</v>
      </c>
      <c r="AQ55" s="162">
        <f t="shared" si="16"/>
        <v>41</v>
      </c>
    </row>
    <row r="56" spans="1:43" ht="13.5" thickBot="1" x14ac:dyDescent="0.25">
      <c r="A56" s="95"/>
      <c r="B56" s="555"/>
      <c r="C56" s="476" t="str">
        <f t="shared" si="28"/>
        <v/>
      </c>
      <c r="D56" s="477" t="str">
        <f>IF(ISNUMBER(MATCH(C56,NDAWN!$A$6:$A$237,0))=TRUE,(VLOOKUP(C56,NDAWN!$A$6:$K$237,9,FALSE)),(""))</f>
        <v/>
      </c>
      <c r="E56" s="477" t="str">
        <f>IF(ISNUMBER(MATCH(C56,NDAWN!$A$6:$A$237,0))=TRUE,(VLOOKUP(C56,NDAWN!$A$6:$K$237,11,FALSE)),(""))</f>
        <v/>
      </c>
      <c r="F56" s="478">
        <f>IFERROR(VLOOKUP(C56,'Net Irrigation Calculator'!$A$10:$G$26,7,FALSE),(0))</f>
        <v>0</v>
      </c>
      <c r="G56" s="524" t="str">
        <f>IF(ISNUMBER(MATCH(C56,'Moisture Sensors (tensiometer)'!$AF$9:$AF$19,0))=TRUE,(VLOOKUP(C56,'Moisture Sensors (tensiometer)'!$AF$9:$AG$19,2)),(IF(D56="","",IF($D$9&gt;=G55,+G55-D56+E56+F56,$D$9))))</f>
        <v/>
      </c>
      <c r="H56" s="423" t="str">
        <f t="shared" si="20"/>
        <v/>
      </c>
      <c r="I56" s="555"/>
      <c r="J56" s="476" t="str">
        <f t="shared" si="29"/>
        <v/>
      </c>
      <c r="K56" s="477" t="str">
        <f>IF(ISNUMBER(MATCH(J56,NDAWN!$A$6:$A$237,0))=TRUE,(VLOOKUP(J56,NDAWN!$A$6:$K$237,9,FALSE)),(""))</f>
        <v/>
      </c>
      <c r="L56" s="477" t="str">
        <f>IF(ISNUMBER(MATCH(J56,NDAWN!$A$6:$A$237,0))=TRUE,(VLOOKUP(J56,NDAWN!$A$6:$K$237,11,FALSE)),(""))</f>
        <v/>
      </c>
      <c r="M56" s="484">
        <f>IFERROR(VLOOKUP(J56,'Net Irrigation Calculator'!$A$10:$G$26,7,FALSE),(0))</f>
        <v>0</v>
      </c>
      <c r="N56" s="485" t="str">
        <f>IF(ISNUMBER(MATCH(J56,'Moisture Sensors (tensiometer)'!$AF$9:$AF$19,0))=TRUE,(VLOOKUP(J56,'Moisture Sensors (tensiometer)'!$AF$9:$AG$19,2)),(IF(K56="","",IF($D$9&gt;=N55,+N55-K56+L56+M56,$D$9))))</f>
        <v/>
      </c>
      <c r="O56" s="424" t="str">
        <f t="shared" si="21"/>
        <v/>
      </c>
      <c r="Q56" s="54"/>
      <c r="R56" s="552"/>
      <c r="S56" s="499" t="str">
        <f t="shared" si="30"/>
        <v/>
      </c>
      <c r="T56" s="500" t="str">
        <f t="shared" si="22"/>
        <v/>
      </c>
      <c r="U56" s="501" t="str">
        <f t="shared" si="23"/>
        <v/>
      </c>
      <c r="V56" s="502"/>
      <c r="W56" s="527" t="str">
        <f t="shared" si="14"/>
        <v/>
      </c>
      <c r="X56" s="425" t="str">
        <f t="shared" si="24"/>
        <v/>
      </c>
      <c r="Y56" s="552"/>
      <c r="Z56" s="499" t="str">
        <f t="shared" si="31"/>
        <v/>
      </c>
      <c r="AA56" s="500" t="str">
        <f t="shared" si="25"/>
        <v/>
      </c>
      <c r="AB56" s="501" t="str">
        <f t="shared" si="26"/>
        <v/>
      </c>
      <c r="AC56" s="507"/>
      <c r="AD56" s="523" t="str">
        <f t="shared" si="15"/>
        <v/>
      </c>
      <c r="AE56" s="425" t="str">
        <f t="shared" si="27"/>
        <v/>
      </c>
      <c r="AL56" s="426">
        <f t="shared" si="32"/>
        <v>0</v>
      </c>
      <c r="AM56" s="426">
        <f t="shared" si="32"/>
        <v>0</v>
      </c>
      <c r="AN56" s="426" t="e">
        <f t="shared" si="33"/>
        <v>#VALUE!</v>
      </c>
      <c r="AO56" s="426" t="e">
        <f t="shared" si="33"/>
        <v>#VALUE!</v>
      </c>
      <c r="AP56" s="427" t="e">
        <f t="shared" si="17"/>
        <v>#VALUE!</v>
      </c>
      <c r="AQ56" s="162">
        <f t="shared" si="16"/>
        <v>42</v>
      </c>
    </row>
    <row r="57" spans="1:43" ht="13.5" customHeight="1" x14ac:dyDescent="0.2">
      <c r="A57" s="95"/>
      <c r="B57" s="553" t="str">
        <f>IF($D$5="","",HLOOKUP('IWM Evaluation'!$D$5,'General Information'!$O$2:$V$26,8,FALSE))</f>
        <v>Week 7</v>
      </c>
      <c r="C57" s="480" t="str">
        <f t="shared" si="28"/>
        <v/>
      </c>
      <c r="D57" s="471" t="str">
        <f>IF(ISNUMBER(MATCH(C57,NDAWN!$A$6:$A$237,0))=TRUE,(VLOOKUP(C57,NDAWN!$A$6:$K$237,9,FALSE)),(""))</f>
        <v/>
      </c>
      <c r="E57" s="471" t="str">
        <f>IF(ISNUMBER(MATCH(C57,NDAWN!$A$6:$A$237,0))=TRUE,(VLOOKUP(C57,NDAWN!$A$6:$K$237,11,FALSE)),(""))</f>
        <v/>
      </c>
      <c r="F57" s="472">
        <f>IFERROR(VLOOKUP(C57,'Net Irrigation Calculator'!$A$10:$G$26,7,FALSE),(0))</f>
        <v>0</v>
      </c>
      <c r="G57" s="473" t="str">
        <f>IF(ISNUMBER(MATCH(C57,'Moisture Sensors (tensiometer)'!$AF$9:$AF$19,0))=TRUE,(VLOOKUP(C57,'Moisture Sensors (tensiometer)'!$AF$9:$AG$19,2)),(IF(D57="","",IF($D$9&gt;=G56,+G56-D57+E57+F57,$D$9))))</f>
        <v/>
      </c>
      <c r="H57" s="423" t="str">
        <f t="shared" si="20"/>
        <v/>
      </c>
      <c r="I57" s="553" t="str">
        <f>IF($D$5="","",HLOOKUP('IWM Evaluation'!$D$5,'General Information'!$O$2:$V$26,20,FALSE))</f>
        <v>Week 19</v>
      </c>
      <c r="J57" s="480" t="str">
        <f t="shared" si="29"/>
        <v/>
      </c>
      <c r="K57" s="471" t="str">
        <f>IF(ISNUMBER(MATCH(J57,NDAWN!$A$6:$A$237,0))=TRUE,(VLOOKUP(J57,NDAWN!$A$6:$K$237,9,FALSE)),(""))</f>
        <v/>
      </c>
      <c r="L57" s="471" t="str">
        <f>IF(ISNUMBER(MATCH(J57,NDAWN!$A$6:$A$237,0))=TRUE,(VLOOKUP(J57,NDAWN!$A$6:$K$237,11,FALSE)),(""))</f>
        <v/>
      </c>
      <c r="M57" s="481">
        <f>IFERROR(VLOOKUP(J57,'Net Irrigation Calculator'!$A$10:$G$26,7,FALSE),(0))</f>
        <v>0</v>
      </c>
      <c r="N57" s="482" t="str">
        <f>IF(ISNUMBER(MATCH(J57,'Moisture Sensors (tensiometer)'!$AF$9:$AF$19,0))=TRUE,(VLOOKUP(J57,'Moisture Sensors (tensiometer)'!$AF$9:$AG$19,2)),(IF(K57="","",IF($D$9&gt;=N56,+N56-K57+L57+M57,$D$9))))</f>
        <v/>
      </c>
      <c r="O57" s="424" t="str">
        <f t="shared" si="21"/>
        <v/>
      </c>
      <c r="Q57" s="54"/>
      <c r="R57" s="550" t="str">
        <f>IF($D$5="","",HLOOKUP('IWM Evaluation'!$D$5,'General Information'!$O$2:$V$26,8,FALSE))</f>
        <v>Week 7</v>
      </c>
      <c r="S57" s="503" t="str">
        <f t="shared" si="30"/>
        <v/>
      </c>
      <c r="T57" s="493" t="str">
        <f t="shared" si="22"/>
        <v/>
      </c>
      <c r="U57" s="494" t="str">
        <f t="shared" si="23"/>
        <v/>
      </c>
      <c r="V57" s="495"/>
      <c r="W57" s="525" t="str">
        <f t="shared" si="14"/>
        <v/>
      </c>
      <c r="X57" s="425" t="str">
        <f t="shared" si="24"/>
        <v/>
      </c>
      <c r="Y57" s="550" t="str">
        <f>IF($D$5="","",HLOOKUP('IWM Evaluation'!$D$5,'General Information'!$O$2:$V$26,20,FALSE))</f>
        <v>Week 19</v>
      </c>
      <c r="Z57" s="503" t="str">
        <f t="shared" si="31"/>
        <v/>
      </c>
      <c r="AA57" s="493" t="str">
        <f t="shared" si="25"/>
        <v/>
      </c>
      <c r="AB57" s="494" t="str">
        <f t="shared" si="26"/>
        <v/>
      </c>
      <c r="AC57" s="506"/>
      <c r="AD57" s="521" t="str">
        <f t="shared" si="15"/>
        <v/>
      </c>
      <c r="AE57" s="425" t="str">
        <f t="shared" si="27"/>
        <v/>
      </c>
      <c r="AL57" s="426">
        <f t="shared" si="32"/>
        <v>0</v>
      </c>
      <c r="AM57" s="426">
        <f t="shared" si="32"/>
        <v>0</v>
      </c>
      <c r="AN57" s="426" t="e">
        <f t="shared" si="33"/>
        <v>#VALUE!</v>
      </c>
      <c r="AO57" s="426" t="e">
        <f t="shared" si="33"/>
        <v>#VALUE!</v>
      </c>
      <c r="AP57" s="427" t="e">
        <f t="shared" si="17"/>
        <v>#VALUE!</v>
      </c>
      <c r="AQ57" s="162">
        <f t="shared" si="16"/>
        <v>43</v>
      </c>
    </row>
    <row r="58" spans="1:43" x14ac:dyDescent="0.2">
      <c r="A58" s="95"/>
      <c r="B58" s="554"/>
      <c r="C58" s="474" t="str">
        <f t="shared" si="28"/>
        <v/>
      </c>
      <c r="D58" s="282" t="str">
        <f>IF(ISNUMBER(MATCH(C58,NDAWN!$A$6:$A$237,0))=TRUE,(VLOOKUP(C58,NDAWN!$A$6:$K$237,9,FALSE)),(""))</f>
        <v/>
      </c>
      <c r="E58" s="282" t="str">
        <f>IF(ISNUMBER(MATCH(C58,NDAWN!$A$6:$A$237,0))=TRUE,(VLOOKUP(C58,NDAWN!$A$6:$K$237,11,FALSE)),(""))</f>
        <v/>
      </c>
      <c r="F58" s="116">
        <f>IFERROR(VLOOKUP(C58,'Net Irrigation Calculator'!$A$10:$G$26,7,FALSE),(0))</f>
        <v>0</v>
      </c>
      <c r="G58" s="475" t="str">
        <f>IF(ISNUMBER(MATCH(C58,'Moisture Sensors (tensiometer)'!$AF$9:$AF$19,0))=TRUE,(VLOOKUP(C58,'Moisture Sensors (tensiometer)'!$AF$9:$AG$19,2)),(IF(D58="","",IF($D$9&gt;=G57,+G57-D58+E58+F58,$D$9))))</f>
        <v/>
      </c>
      <c r="H58" s="423" t="str">
        <f t="shared" si="20"/>
        <v/>
      </c>
      <c r="I58" s="554"/>
      <c r="J58" s="474" t="str">
        <f t="shared" si="29"/>
        <v/>
      </c>
      <c r="K58" s="282" t="str">
        <f>IF(ISNUMBER(MATCH(J58,NDAWN!$A$6:$A$237,0))=TRUE,(VLOOKUP(J58,NDAWN!$A$6:$K$237,9,FALSE)),(""))</f>
        <v/>
      </c>
      <c r="L58" s="282" t="str">
        <f>IF(ISNUMBER(MATCH(J58,NDAWN!$A$6:$A$237,0))=TRUE,(VLOOKUP(J58,NDAWN!$A$6:$K$237,11,FALSE)),(""))</f>
        <v/>
      </c>
      <c r="M58" s="143">
        <f>IFERROR(VLOOKUP(J58,'Net Irrigation Calculator'!$A$10:$G$26,7,FALSE),(0))</f>
        <v>0</v>
      </c>
      <c r="N58" s="483" t="str">
        <f>IF(ISNUMBER(MATCH(J58,'Moisture Sensors (tensiometer)'!$AF$9:$AF$19,0))=TRUE,(VLOOKUP(J58,'Moisture Sensors (tensiometer)'!$AF$9:$AG$19,2)),(IF(K58="","",IF($D$9&gt;=N57,+N57-K58+L58+M58,$D$9))))</f>
        <v/>
      </c>
      <c r="O58" s="424" t="str">
        <f t="shared" si="21"/>
        <v/>
      </c>
      <c r="Q58" s="54"/>
      <c r="R58" s="551"/>
      <c r="S58" s="496" t="str">
        <f t="shared" si="30"/>
        <v/>
      </c>
      <c r="T58" s="497" t="str">
        <f t="shared" si="22"/>
        <v/>
      </c>
      <c r="U58" s="498" t="str">
        <f t="shared" si="23"/>
        <v/>
      </c>
      <c r="V58" s="117"/>
      <c r="W58" s="526" t="str">
        <f t="shared" si="14"/>
        <v/>
      </c>
      <c r="X58" s="425" t="str">
        <f t="shared" si="24"/>
        <v/>
      </c>
      <c r="Y58" s="551"/>
      <c r="Z58" s="496" t="str">
        <f t="shared" si="31"/>
        <v/>
      </c>
      <c r="AA58" s="497" t="str">
        <f t="shared" si="25"/>
        <v/>
      </c>
      <c r="AB58" s="498" t="str">
        <f t="shared" si="26"/>
        <v/>
      </c>
      <c r="AC58" s="118"/>
      <c r="AD58" s="522" t="str">
        <f t="shared" si="15"/>
        <v/>
      </c>
      <c r="AE58" s="425" t="str">
        <f t="shared" si="27"/>
        <v/>
      </c>
      <c r="AL58" s="426">
        <f t="shared" si="32"/>
        <v>0</v>
      </c>
      <c r="AM58" s="426">
        <f t="shared" si="32"/>
        <v>0</v>
      </c>
      <c r="AN58" s="426" t="e">
        <f t="shared" si="33"/>
        <v>#VALUE!</v>
      </c>
      <c r="AO58" s="426" t="e">
        <f t="shared" si="33"/>
        <v>#VALUE!</v>
      </c>
      <c r="AP58" s="427" t="e">
        <f t="shared" si="17"/>
        <v>#VALUE!</v>
      </c>
      <c r="AQ58" s="162">
        <f t="shared" si="16"/>
        <v>44</v>
      </c>
    </row>
    <row r="59" spans="1:43" x14ac:dyDescent="0.2">
      <c r="A59" s="95"/>
      <c r="B59" s="554"/>
      <c r="C59" s="474" t="str">
        <f t="shared" si="28"/>
        <v/>
      </c>
      <c r="D59" s="282" t="str">
        <f>IF(ISNUMBER(MATCH(C59,NDAWN!$A$6:$A$237,0))=TRUE,(VLOOKUP(C59,NDAWN!$A$6:$K$237,9,FALSE)),(""))</f>
        <v/>
      </c>
      <c r="E59" s="282" t="str">
        <f>IF(ISNUMBER(MATCH(C59,NDAWN!$A$6:$A$237,0))=TRUE,(VLOOKUP(C59,NDAWN!$A$6:$K$237,11,FALSE)),(""))</f>
        <v/>
      </c>
      <c r="F59" s="116">
        <f>IFERROR(VLOOKUP(C59,'Net Irrigation Calculator'!$A$10:$G$26,7,FALSE),(0))</f>
        <v>0</v>
      </c>
      <c r="G59" s="475" t="str">
        <f>IF(ISNUMBER(MATCH(C59,'Moisture Sensors (tensiometer)'!$AF$9:$AF$19,0))=TRUE,(VLOOKUP(C59,'Moisture Sensors (tensiometer)'!$AF$9:$AG$19,2)),(IF(D59="","",IF($D$9&gt;=G58,+G58-D59+E59+F59,$D$9))))</f>
        <v/>
      </c>
      <c r="H59" s="423" t="str">
        <f t="shared" si="20"/>
        <v/>
      </c>
      <c r="I59" s="554"/>
      <c r="J59" s="474" t="str">
        <f t="shared" si="29"/>
        <v/>
      </c>
      <c r="K59" s="282" t="str">
        <f>IF(ISNUMBER(MATCH(J59,NDAWN!$A$6:$A$237,0))=TRUE,(VLOOKUP(J59,NDAWN!$A$6:$K$237,9,FALSE)),(""))</f>
        <v/>
      </c>
      <c r="L59" s="282" t="str">
        <f>IF(ISNUMBER(MATCH(J59,NDAWN!$A$6:$A$237,0))=TRUE,(VLOOKUP(J59,NDAWN!$A$6:$K$237,11,FALSE)),(""))</f>
        <v/>
      </c>
      <c r="M59" s="143">
        <f>IFERROR(VLOOKUP(J59,'Net Irrigation Calculator'!$A$10:$G$26,7,FALSE),(0))</f>
        <v>0</v>
      </c>
      <c r="N59" s="483" t="str">
        <f>IF(ISNUMBER(MATCH(J59,'Moisture Sensors (tensiometer)'!$AF$9:$AF$19,0))=TRUE,(VLOOKUP(J59,'Moisture Sensors (tensiometer)'!$AF$9:$AG$19,2)),(IF(K59="","",IF($D$9&gt;=N58,+N58-K59+L59+M59,$D$9))))</f>
        <v/>
      </c>
      <c r="O59" s="424" t="str">
        <f t="shared" si="21"/>
        <v/>
      </c>
      <c r="Q59" s="54"/>
      <c r="R59" s="551"/>
      <c r="S59" s="496" t="str">
        <f t="shared" si="30"/>
        <v/>
      </c>
      <c r="T59" s="497" t="str">
        <f t="shared" si="22"/>
        <v/>
      </c>
      <c r="U59" s="498" t="str">
        <f t="shared" si="23"/>
        <v/>
      </c>
      <c r="V59" s="117"/>
      <c r="W59" s="526" t="str">
        <f t="shared" si="14"/>
        <v/>
      </c>
      <c r="X59" s="425" t="str">
        <f t="shared" si="24"/>
        <v/>
      </c>
      <c r="Y59" s="551"/>
      <c r="Z59" s="496" t="str">
        <f t="shared" si="31"/>
        <v/>
      </c>
      <c r="AA59" s="497" t="str">
        <f t="shared" si="25"/>
        <v/>
      </c>
      <c r="AB59" s="498" t="str">
        <f t="shared" si="26"/>
        <v/>
      </c>
      <c r="AC59" s="118"/>
      <c r="AD59" s="522" t="str">
        <f t="shared" si="15"/>
        <v/>
      </c>
      <c r="AE59" s="425" t="str">
        <f t="shared" si="27"/>
        <v/>
      </c>
      <c r="AL59" s="426">
        <f t="shared" si="32"/>
        <v>0</v>
      </c>
      <c r="AM59" s="426">
        <f t="shared" si="32"/>
        <v>0</v>
      </c>
      <c r="AN59" s="426" t="e">
        <f t="shared" si="33"/>
        <v>#VALUE!</v>
      </c>
      <c r="AO59" s="426" t="e">
        <f t="shared" si="33"/>
        <v>#VALUE!</v>
      </c>
      <c r="AP59" s="427" t="e">
        <f t="shared" si="17"/>
        <v>#VALUE!</v>
      </c>
      <c r="AQ59" s="162">
        <f t="shared" si="16"/>
        <v>45</v>
      </c>
    </row>
    <row r="60" spans="1:43" x14ac:dyDescent="0.2">
      <c r="A60" s="95"/>
      <c r="B60" s="554"/>
      <c r="C60" s="474" t="str">
        <f t="shared" si="28"/>
        <v/>
      </c>
      <c r="D60" s="282" t="str">
        <f>IF(ISNUMBER(MATCH(C60,NDAWN!$A$6:$A$237,0))=TRUE,(VLOOKUP(C60,NDAWN!$A$6:$K$237,9,FALSE)),(""))</f>
        <v/>
      </c>
      <c r="E60" s="282" t="str">
        <f>IF(ISNUMBER(MATCH(C60,NDAWN!$A$6:$A$237,0))=TRUE,(VLOOKUP(C60,NDAWN!$A$6:$K$237,11,FALSE)),(""))</f>
        <v/>
      </c>
      <c r="F60" s="116">
        <f>IFERROR(VLOOKUP(C60,'Net Irrigation Calculator'!$A$10:$G$26,7,FALSE),(0))</f>
        <v>0</v>
      </c>
      <c r="G60" s="475" t="str">
        <f>IF(ISNUMBER(MATCH(C60,'Moisture Sensors (tensiometer)'!$AF$9:$AF$19,0))=TRUE,(VLOOKUP(C60,'Moisture Sensors (tensiometer)'!$AF$9:$AG$19,2)),(IF(D60="","",IF($D$9&gt;=G59,+G59-D60+E60+F60,$D$9))))</f>
        <v/>
      </c>
      <c r="H60" s="423" t="str">
        <f t="shared" si="20"/>
        <v/>
      </c>
      <c r="I60" s="554"/>
      <c r="J60" s="474" t="str">
        <f t="shared" si="29"/>
        <v/>
      </c>
      <c r="K60" s="282" t="str">
        <f>IF(ISNUMBER(MATCH(J60,NDAWN!$A$6:$A$237,0))=TRUE,(VLOOKUP(J60,NDAWN!$A$6:$K$237,9,FALSE)),(""))</f>
        <v/>
      </c>
      <c r="L60" s="282" t="str">
        <f>IF(ISNUMBER(MATCH(J60,NDAWN!$A$6:$A$237,0))=TRUE,(VLOOKUP(J60,NDAWN!$A$6:$K$237,11,FALSE)),(""))</f>
        <v/>
      </c>
      <c r="M60" s="143">
        <f>IFERROR(VLOOKUP(J60,'Net Irrigation Calculator'!$A$10:$G$26,7,FALSE),(0))</f>
        <v>0</v>
      </c>
      <c r="N60" s="483" t="str">
        <f>IF(ISNUMBER(MATCH(J60,'Moisture Sensors (tensiometer)'!$AF$9:$AF$19,0))=TRUE,(VLOOKUP(J60,'Moisture Sensors (tensiometer)'!$AF$9:$AG$19,2)),(IF(K60="","",IF($D$9&gt;=N59,+N59-K60+L60+M60,$D$9))))</f>
        <v/>
      </c>
      <c r="O60" s="424" t="str">
        <f t="shared" si="21"/>
        <v/>
      </c>
      <c r="Q60" s="54"/>
      <c r="R60" s="551"/>
      <c r="S60" s="496" t="str">
        <f t="shared" si="30"/>
        <v/>
      </c>
      <c r="T60" s="497" t="str">
        <f t="shared" si="22"/>
        <v/>
      </c>
      <c r="U60" s="498" t="str">
        <f t="shared" si="23"/>
        <v/>
      </c>
      <c r="V60" s="117"/>
      <c r="W60" s="522" t="str">
        <f t="shared" si="14"/>
        <v/>
      </c>
      <c r="X60" s="425" t="str">
        <f t="shared" si="24"/>
        <v/>
      </c>
      <c r="Y60" s="551"/>
      <c r="Z60" s="496" t="str">
        <f t="shared" si="31"/>
        <v/>
      </c>
      <c r="AA60" s="497" t="str">
        <f t="shared" si="25"/>
        <v/>
      </c>
      <c r="AB60" s="498" t="str">
        <f t="shared" si="26"/>
        <v/>
      </c>
      <c r="AC60" s="118"/>
      <c r="AD60" s="522" t="str">
        <f t="shared" si="15"/>
        <v/>
      </c>
      <c r="AE60" s="425" t="str">
        <f t="shared" si="27"/>
        <v/>
      </c>
      <c r="AL60" s="426">
        <f t="shared" si="32"/>
        <v>0</v>
      </c>
      <c r="AM60" s="426">
        <f t="shared" si="32"/>
        <v>0</v>
      </c>
      <c r="AN60" s="426" t="e">
        <f t="shared" si="33"/>
        <v>#VALUE!</v>
      </c>
      <c r="AO60" s="426" t="e">
        <f t="shared" si="33"/>
        <v>#VALUE!</v>
      </c>
      <c r="AP60" s="427" t="e">
        <f t="shared" si="17"/>
        <v>#VALUE!</v>
      </c>
      <c r="AQ60" s="162">
        <f t="shared" si="16"/>
        <v>46</v>
      </c>
    </row>
    <row r="61" spans="1:43" x14ac:dyDescent="0.2">
      <c r="A61" s="95"/>
      <c r="B61" s="554"/>
      <c r="C61" s="474" t="str">
        <f t="shared" si="28"/>
        <v/>
      </c>
      <c r="D61" s="282" t="str">
        <f>IF(ISNUMBER(MATCH(C61,NDAWN!$A$6:$A$237,0))=TRUE,(VLOOKUP(C61,NDAWN!$A$6:$K$237,9,FALSE)),(""))</f>
        <v/>
      </c>
      <c r="E61" s="282" t="str">
        <f>IF(ISNUMBER(MATCH(C61,NDAWN!$A$6:$A$237,0))=TRUE,(VLOOKUP(C61,NDAWN!$A$6:$K$237,11,FALSE)),(""))</f>
        <v/>
      </c>
      <c r="F61" s="116">
        <f>IFERROR(VLOOKUP(C61,'Net Irrigation Calculator'!$A$10:$G$26,7,FALSE),(0))</f>
        <v>0</v>
      </c>
      <c r="G61" s="475" t="str">
        <f>IF(ISNUMBER(MATCH(C61,'Moisture Sensors (tensiometer)'!$AF$9:$AF$19,0))=TRUE,(VLOOKUP(C61,'Moisture Sensors (tensiometer)'!$AF$9:$AG$19,2)),(IF(D61="","",IF($D$9&gt;=G60,+G60-D61+E61+F61,$D$9))))</f>
        <v/>
      </c>
      <c r="H61" s="423" t="str">
        <f t="shared" si="20"/>
        <v/>
      </c>
      <c r="I61" s="554"/>
      <c r="J61" s="474" t="str">
        <f t="shared" si="29"/>
        <v/>
      </c>
      <c r="K61" s="282" t="str">
        <f>IF(ISNUMBER(MATCH(J61,NDAWN!$A$6:$A$237,0))=TRUE,(VLOOKUP(J61,NDAWN!$A$6:$K$237,9,FALSE)),(""))</f>
        <v/>
      </c>
      <c r="L61" s="282" t="str">
        <f>IF(ISNUMBER(MATCH(J61,NDAWN!$A$6:$A$237,0))=TRUE,(VLOOKUP(J61,NDAWN!$A$6:$K$237,11,FALSE)),(""))</f>
        <v/>
      </c>
      <c r="M61" s="143">
        <f>IFERROR(VLOOKUP(J61,'Net Irrigation Calculator'!$A$10:$G$26,7,FALSE),(0))</f>
        <v>0</v>
      </c>
      <c r="N61" s="483" t="str">
        <f>IF(ISNUMBER(MATCH(J61,'Moisture Sensors (tensiometer)'!$AF$9:$AF$19,0))=TRUE,(VLOOKUP(J61,'Moisture Sensors (tensiometer)'!$AF$9:$AG$19,2)),(IF(K61="","",IF($D$9&gt;=N60,+N60-K61+L61+M61,$D$9))))</f>
        <v/>
      </c>
      <c r="O61" s="424" t="str">
        <f t="shared" si="21"/>
        <v/>
      </c>
      <c r="Q61" s="54"/>
      <c r="R61" s="551"/>
      <c r="S61" s="496" t="str">
        <f t="shared" si="30"/>
        <v/>
      </c>
      <c r="T61" s="497" t="str">
        <f t="shared" si="22"/>
        <v/>
      </c>
      <c r="U61" s="498" t="str">
        <f t="shared" si="23"/>
        <v/>
      </c>
      <c r="V61" s="117"/>
      <c r="W61" s="526" t="str">
        <f t="shared" si="14"/>
        <v/>
      </c>
      <c r="X61" s="425" t="str">
        <f t="shared" si="24"/>
        <v/>
      </c>
      <c r="Y61" s="551"/>
      <c r="Z61" s="496" t="str">
        <f t="shared" si="31"/>
        <v/>
      </c>
      <c r="AA61" s="497" t="str">
        <f t="shared" si="25"/>
        <v/>
      </c>
      <c r="AB61" s="498" t="str">
        <f t="shared" si="26"/>
        <v/>
      </c>
      <c r="AC61" s="118"/>
      <c r="AD61" s="522" t="str">
        <f t="shared" si="15"/>
        <v/>
      </c>
      <c r="AE61" s="425" t="str">
        <f t="shared" si="27"/>
        <v/>
      </c>
      <c r="AL61" s="426">
        <f t="shared" si="32"/>
        <v>0</v>
      </c>
      <c r="AM61" s="426">
        <f t="shared" si="32"/>
        <v>0</v>
      </c>
      <c r="AN61" s="426" t="e">
        <f t="shared" si="33"/>
        <v>#VALUE!</v>
      </c>
      <c r="AO61" s="426" t="e">
        <f t="shared" si="33"/>
        <v>#VALUE!</v>
      </c>
      <c r="AP61" s="427" t="e">
        <f t="shared" si="17"/>
        <v>#VALUE!</v>
      </c>
      <c r="AQ61" s="162">
        <f t="shared" si="16"/>
        <v>47</v>
      </c>
    </row>
    <row r="62" spans="1:43" x14ac:dyDescent="0.2">
      <c r="A62" s="95"/>
      <c r="B62" s="554"/>
      <c r="C62" s="474" t="str">
        <f t="shared" si="28"/>
        <v/>
      </c>
      <c r="D62" s="282" t="str">
        <f>IF(ISNUMBER(MATCH(C62,NDAWN!$A$6:$A$237,0))=TRUE,(VLOOKUP(C62,NDAWN!$A$6:$K$237,9,FALSE)),(""))</f>
        <v/>
      </c>
      <c r="E62" s="282" t="str">
        <f>IF(ISNUMBER(MATCH(C62,NDAWN!$A$6:$A$237,0))=TRUE,(VLOOKUP(C62,NDAWN!$A$6:$K$237,11,FALSE)),(""))</f>
        <v/>
      </c>
      <c r="F62" s="116">
        <f>IFERROR(VLOOKUP(C62,'Net Irrigation Calculator'!$A$10:$G$26,7,FALSE),(0))</f>
        <v>0</v>
      </c>
      <c r="G62" s="475" t="str">
        <f>IF(ISNUMBER(MATCH(C62,'Moisture Sensors (tensiometer)'!$AF$9:$AF$19,0))=TRUE,(VLOOKUP(C62,'Moisture Sensors (tensiometer)'!$AF$9:$AG$19,2)),(IF(D62="","",IF($D$9&gt;=G61,+G61-D62+E62+F62,$D$9))))</f>
        <v/>
      </c>
      <c r="H62" s="423" t="str">
        <f t="shared" si="20"/>
        <v/>
      </c>
      <c r="I62" s="554"/>
      <c r="J62" s="474" t="str">
        <f t="shared" si="29"/>
        <v/>
      </c>
      <c r="K62" s="282" t="str">
        <f>IF(ISNUMBER(MATCH(J62,NDAWN!$A$6:$A$237,0))=TRUE,(VLOOKUP(J62,NDAWN!$A$6:$K$237,9,FALSE)),(""))</f>
        <v/>
      </c>
      <c r="L62" s="282" t="str">
        <f>IF(ISNUMBER(MATCH(J62,NDAWN!$A$6:$A$237,0))=TRUE,(VLOOKUP(J62,NDAWN!$A$6:$K$237,11,FALSE)),(""))</f>
        <v/>
      </c>
      <c r="M62" s="143">
        <f>IFERROR(VLOOKUP(J62,'Net Irrigation Calculator'!$A$10:$G$26,7,FALSE),(0))</f>
        <v>0</v>
      </c>
      <c r="N62" s="483" t="str">
        <f>IF(ISNUMBER(MATCH(J62,'Moisture Sensors (tensiometer)'!$AF$9:$AF$19,0))=TRUE,(VLOOKUP(J62,'Moisture Sensors (tensiometer)'!$AF$9:$AG$19,2)),(IF(K62="","",IF($D$9&gt;=N61,+N61-K62+L62+M62,$D$9))))</f>
        <v/>
      </c>
      <c r="O62" s="424" t="str">
        <f t="shared" si="21"/>
        <v/>
      </c>
      <c r="Q62" s="54"/>
      <c r="R62" s="551"/>
      <c r="S62" s="496" t="str">
        <f t="shared" si="30"/>
        <v/>
      </c>
      <c r="T62" s="497" t="str">
        <f t="shared" si="22"/>
        <v/>
      </c>
      <c r="U62" s="498" t="str">
        <f t="shared" si="23"/>
        <v/>
      </c>
      <c r="V62" s="117"/>
      <c r="W62" s="526" t="str">
        <f t="shared" si="14"/>
        <v/>
      </c>
      <c r="X62" s="425" t="str">
        <f t="shared" si="24"/>
        <v/>
      </c>
      <c r="Y62" s="551"/>
      <c r="Z62" s="496" t="str">
        <f t="shared" si="31"/>
        <v/>
      </c>
      <c r="AA62" s="497" t="str">
        <f t="shared" si="25"/>
        <v/>
      </c>
      <c r="AB62" s="498" t="str">
        <f t="shared" si="26"/>
        <v/>
      </c>
      <c r="AC62" s="118"/>
      <c r="AD62" s="522" t="str">
        <f t="shared" si="15"/>
        <v/>
      </c>
      <c r="AE62" s="425" t="str">
        <f t="shared" si="27"/>
        <v/>
      </c>
      <c r="AL62" s="426">
        <f t="shared" si="32"/>
        <v>0</v>
      </c>
      <c r="AM62" s="426">
        <f t="shared" si="32"/>
        <v>0</v>
      </c>
      <c r="AN62" s="426" t="e">
        <f t="shared" si="33"/>
        <v>#VALUE!</v>
      </c>
      <c r="AO62" s="426" t="e">
        <f t="shared" si="33"/>
        <v>#VALUE!</v>
      </c>
      <c r="AP62" s="427" t="e">
        <f t="shared" si="17"/>
        <v>#VALUE!</v>
      </c>
      <c r="AQ62" s="162">
        <f t="shared" si="16"/>
        <v>48</v>
      </c>
    </row>
    <row r="63" spans="1:43" ht="13.5" thickBot="1" x14ac:dyDescent="0.25">
      <c r="A63" s="95"/>
      <c r="B63" s="555"/>
      <c r="C63" s="476" t="str">
        <f t="shared" si="28"/>
        <v/>
      </c>
      <c r="D63" s="477" t="str">
        <f>IF(ISNUMBER(MATCH(C63,NDAWN!$A$6:$A$237,0))=TRUE,(VLOOKUP(C63,NDAWN!$A$6:$K$237,9,FALSE)),(""))</f>
        <v/>
      </c>
      <c r="E63" s="477" t="str">
        <f>IF(ISNUMBER(MATCH(C63,NDAWN!$A$6:$A$237,0))=TRUE,(VLOOKUP(C63,NDAWN!$A$6:$K$237,11,FALSE)),(""))</f>
        <v/>
      </c>
      <c r="F63" s="478">
        <f>IFERROR(VLOOKUP(C63,'Net Irrigation Calculator'!$A$10:$G$26,7,FALSE),(0))</f>
        <v>0</v>
      </c>
      <c r="G63" s="524" t="str">
        <f>IF(ISNUMBER(MATCH(C63,'Moisture Sensors (tensiometer)'!$AF$9:$AF$19,0))=TRUE,(VLOOKUP(C63,'Moisture Sensors (tensiometer)'!$AF$9:$AG$19,2)),(IF(D63="","",IF($D$9&gt;=G62,+G62-D63+E63+F63,$D$9))))</f>
        <v/>
      </c>
      <c r="H63" s="423" t="str">
        <f t="shared" si="20"/>
        <v/>
      </c>
      <c r="I63" s="555"/>
      <c r="J63" s="476" t="str">
        <f t="shared" si="29"/>
        <v/>
      </c>
      <c r="K63" s="477" t="str">
        <f>IF(ISNUMBER(MATCH(J63,NDAWN!$A$6:$A$237,0))=TRUE,(VLOOKUP(J63,NDAWN!$A$6:$K$237,9,FALSE)),(""))</f>
        <v/>
      </c>
      <c r="L63" s="477" t="str">
        <f>IF(ISNUMBER(MATCH(J63,NDAWN!$A$6:$A$237,0))=TRUE,(VLOOKUP(J63,NDAWN!$A$6:$K$237,11,FALSE)),(""))</f>
        <v/>
      </c>
      <c r="M63" s="484">
        <f>IFERROR(VLOOKUP(J63,'Net Irrigation Calculator'!$A$10:$G$26,7,FALSE),(0))</f>
        <v>0</v>
      </c>
      <c r="N63" s="485" t="str">
        <f>IF(ISNUMBER(MATCH(J63,'Moisture Sensors (tensiometer)'!$AF$9:$AF$19,0))=TRUE,(VLOOKUP(J63,'Moisture Sensors (tensiometer)'!$AF$9:$AG$19,2)),(IF(K63="","",IF($D$9&gt;=N62,+N62-K63+L63+M63,$D$9))))</f>
        <v/>
      </c>
      <c r="O63" s="424" t="str">
        <f t="shared" si="21"/>
        <v/>
      </c>
      <c r="Q63" s="54"/>
      <c r="R63" s="552"/>
      <c r="S63" s="499" t="str">
        <f t="shared" si="30"/>
        <v/>
      </c>
      <c r="T63" s="500" t="str">
        <f t="shared" si="22"/>
        <v/>
      </c>
      <c r="U63" s="501" t="str">
        <f t="shared" si="23"/>
        <v/>
      </c>
      <c r="V63" s="502"/>
      <c r="W63" s="527" t="str">
        <f t="shared" si="14"/>
        <v/>
      </c>
      <c r="X63" s="425" t="str">
        <f t="shared" si="24"/>
        <v/>
      </c>
      <c r="Y63" s="552"/>
      <c r="Z63" s="499" t="str">
        <f t="shared" si="31"/>
        <v/>
      </c>
      <c r="AA63" s="500" t="str">
        <f t="shared" si="25"/>
        <v/>
      </c>
      <c r="AB63" s="501" t="str">
        <f t="shared" si="26"/>
        <v/>
      </c>
      <c r="AC63" s="507"/>
      <c r="AD63" s="523" t="str">
        <f t="shared" si="15"/>
        <v/>
      </c>
      <c r="AE63" s="425" t="str">
        <f t="shared" si="27"/>
        <v/>
      </c>
      <c r="AL63" s="426">
        <f t="shared" si="32"/>
        <v>0</v>
      </c>
      <c r="AM63" s="426">
        <f t="shared" si="32"/>
        <v>0</v>
      </c>
      <c r="AN63" s="426" t="e">
        <f t="shared" si="33"/>
        <v>#VALUE!</v>
      </c>
      <c r="AO63" s="426" t="e">
        <f t="shared" si="33"/>
        <v>#VALUE!</v>
      </c>
      <c r="AP63" s="427" t="e">
        <f t="shared" si="17"/>
        <v>#VALUE!</v>
      </c>
      <c r="AQ63" s="162">
        <f t="shared" si="16"/>
        <v>49</v>
      </c>
    </row>
    <row r="64" spans="1:43" ht="13.5" customHeight="1" x14ac:dyDescent="0.2">
      <c r="A64" s="95"/>
      <c r="B64" s="553" t="str">
        <f>IF($D$5="","",HLOOKUP('IWM Evaluation'!$D$5,'General Information'!$O$2:$V$26,9,FALSE))</f>
        <v>Week 8</v>
      </c>
      <c r="C64" s="480" t="str">
        <f t="shared" si="28"/>
        <v/>
      </c>
      <c r="D64" s="471" t="str">
        <f>IF(ISNUMBER(MATCH(C64,NDAWN!$A$6:$A$237,0))=TRUE,(VLOOKUP(C64,NDAWN!$A$6:$K$237,9,FALSE)),(""))</f>
        <v/>
      </c>
      <c r="E64" s="471" t="str">
        <f>IF(ISNUMBER(MATCH(C64,NDAWN!$A$6:$A$237,0))=TRUE,(VLOOKUP(C64,NDAWN!$A$6:$K$237,11,FALSE)),(""))</f>
        <v/>
      </c>
      <c r="F64" s="472">
        <f>IFERROR(VLOOKUP(C64,'Net Irrigation Calculator'!$A$10:$G$26,7,FALSE),(0))</f>
        <v>0</v>
      </c>
      <c r="G64" s="473" t="str">
        <f>IF(ISNUMBER(MATCH(C64,'Moisture Sensors (tensiometer)'!$AF$9:$AF$19,0))=TRUE,(VLOOKUP(C64,'Moisture Sensors (tensiometer)'!$AF$9:$AG$19,2)),(IF(D64="","",IF($D$9&gt;=G63,+G63-D64+E64+F64,$D$9))))</f>
        <v/>
      </c>
      <c r="H64" s="423" t="str">
        <f t="shared" si="20"/>
        <v/>
      </c>
      <c r="I64" s="553" t="str">
        <f>IF($D$5="","",HLOOKUP('IWM Evaluation'!$D$5,'General Information'!$O$2:$V$26,21,FALSE))</f>
        <v>Week 20</v>
      </c>
      <c r="J64" s="480" t="str">
        <f t="shared" si="29"/>
        <v/>
      </c>
      <c r="K64" s="471" t="str">
        <f>IF(ISNUMBER(MATCH(J64,NDAWN!$A$6:$A$237,0))=TRUE,(VLOOKUP(J64,NDAWN!$A$6:$K$237,9,FALSE)),(""))</f>
        <v/>
      </c>
      <c r="L64" s="471" t="str">
        <f>IF(ISNUMBER(MATCH(J64,NDAWN!$A$6:$A$237,0))=TRUE,(VLOOKUP(J64,NDAWN!$A$6:$K$237,11,FALSE)),(""))</f>
        <v/>
      </c>
      <c r="M64" s="481">
        <f>IFERROR(VLOOKUP(J64,'Net Irrigation Calculator'!$A$10:$G$26,7,FALSE),(0))</f>
        <v>0</v>
      </c>
      <c r="N64" s="482" t="str">
        <f>IF(ISNUMBER(MATCH(J64,'Moisture Sensors (tensiometer)'!$AF$9:$AF$19,0))=TRUE,(VLOOKUP(J64,'Moisture Sensors (tensiometer)'!$AF$9:$AG$19,2)),(IF(K64="","",IF($D$9&gt;=N63,+N63-K64+L64+M64,$D$9))))</f>
        <v/>
      </c>
      <c r="O64" s="424" t="str">
        <f t="shared" si="21"/>
        <v/>
      </c>
      <c r="Q64" s="54"/>
      <c r="R64" s="550" t="str">
        <f>IF($D$5="","",HLOOKUP('IWM Evaluation'!$D$5,'General Information'!$O$2:$V$26,9,FALSE))</f>
        <v>Week 8</v>
      </c>
      <c r="S64" s="503" t="str">
        <f t="shared" si="30"/>
        <v/>
      </c>
      <c r="T64" s="493" t="str">
        <f t="shared" si="22"/>
        <v/>
      </c>
      <c r="U64" s="494" t="str">
        <f t="shared" si="23"/>
        <v/>
      </c>
      <c r="V64" s="495"/>
      <c r="W64" s="525" t="str">
        <f t="shared" si="14"/>
        <v/>
      </c>
      <c r="X64" s="425" t="str">
        <f t="shared" si="24"/>
        <v/>
      </c>
      <c r="Y64" s="550" t="str">
        <f>IF($D$5="","",HLOOKUP('IWM Evaluation'!$D$5,'General Information'!$O$2:$V$26,21,FALSE))</f>
        <v>Week 20</v>
      </c>
      <c r="Z64" s="503" t="str">
        <f t="shared" si="31"/>
        <v/>
      </c>
      <c r="AA64" s="493" t="str">
        <f t="shared" si="25"/>
        <v/>
      </c>
      <c r="AB64" s="494" t="str">
        <f t="shared" si="26"/>
        <v/>
      </c>
      <c r="AC64" s="506"/>
      <c r="AD64" s="521" t="str">
        <f t="shared" si="15"/>
        <v/>
      </c>
      <c r="AE64" s="425" t="str">
        <f t="shared" si="27"/>
        <v/>
      </c>
      <c r="AL64" s="426">
        <f t="shared" si="32"/>
        <v>0</v>
      </c>
      <c r="AM64" s="426">
        <f t="shared" si="32"/>
        <v>0</v>
      </c>
      <c r="AN64" s="426" t="e">
        <f t="shared" si="33"/>
        <v>#VALUE!</v>
      </c>
      <c r="AO64" s="426" t="e">
        <f t="shared" si="33"/>
        <v>#VALUE!</v>
      </c>
      <c r="AP64" s="427" t="e">
        <f t="shared" si="17"/>
        <v>#VALUE!</v>
      </c>
      <c r="AQ64" s="162">
        <f t="shared" si="16"/>
        <v>50</v>
      </c>
    </row>
    <row r="65" spans="1:43" x14ac:dyDescent="0.2">
      <c r="A65" s="95"/>
      <c r="B65" s="554"/>
      <c r="C65" s="474" t="str">
        <f t="shared" si="28"/>
        <v/>
      </c>
      <c r="D65" s="282" t="str">
        <f>IF(ISNUMBER(MATCH(C65,NDAWN!$A$6:$A$237,0))=TRUE,(VLOOKUP(C65,NDAWN!$A$6:$K$237,9,FALSE)),(""))</f>
        <v/>
      </c>
      <c r="E65" s="282" t="str">
        <f>IF(ISNUMBER(MATCH(C65,NDAWN!$A$6:$A$237,0))=TRUE,(VLOOKUP(C65,NDAWN!$A$6:$K$237,11,FALSE)),(""))</f>
        <v/>
      </c>
      <c r="F65" s="116">
        <f>IFERROR(VLOOKUP(C65,'Net Irrigation Calculator'!$A$10:$G$26,7,FALSE),(0))</f>
        <v>0</v>
      </c>
      <c r="G65" s="475" t="str">
        <f>IF(ISNUMBER(MATCH(C65,'Moisture Sensors (tensiometer)'!$AF$9:$AF$19,0))=TRUE,(VLOOKUP(C65,'Moisture Sensors (tensiometer)'!$AF$9:$AG$19,2)),(IF(D65="","",IF($D$9&gt;=G64,+G64-D65+E65+F65,$D$9))))</f>
        <v/>
      </c>
      <c r="H65" s="423" t="str">
        <f t="shared" si="20"/>
        <v/>
      </c>
      <c r="I65" s="554"/>
      <c r="J65" s="474" t="str">
        <f t="shared" si="29"/>
        <v/>
      </c>
      <c r="K65" s="282" t="str">
        <f>IF(ISNUMBER(MATCH(J65,NDAWN!$A$6:$A$237,0))=TRUE,(VLOOKUP(J65,NDAWN!$A$6:$K$237,9,FALSE)),(""))</f>
        <v/>
      </c>
      <c r="L65" s="282" t="str">
        <f>IF(ISNUMBER(MATCH(J65,NDAWN!$A$6:$A$237,0))=TRUE,(VLOOKUP(J65,NDAWN!$A$6:$K$237,11,FALSE)),(""))</f>
        <v/>
      </c>
      <c r="M65" s="143">
        <f>IFERROR(VLOOKUP(J65,'Net Irrigation Calculator'!$A$10:$G$26,7,FALSE),(0))</f>
        <v>0</v>
      </c>
      <c r="N65" s="483" t="str">
        <f>IF(ISNUMBER(MATCH(J65,'Moisture Sensors (tensiometer)'!$AF$9:$AF$19,0))=TRUE,(VLOOKUP(J65,'Moisture Sensors (tensiometer)'!$AF$9:$AG$19,2)),(IF(K65="","",IF($D$9&gt;=N64,+N64-K65+L65+M65,$D$9))))</f>
        <v/>
      </c>
      <c r="O65" s="424" t="str">
        <f t="shared" si="21"/>
        <v/>
      </c>
      <c r="Q65" s="54"/>
      <c r="R65" s="551"/>
      <c r="S65" s="496" t="str">
        <f t="shared" si="30"/>
        <v/>
      </c>
      <c r="T65" s="497" t="str">
        <f t="shared" si="22"/>
        <v/>
      </c>
      <c r="U65" s="498" t="str">
        <f t="shared" si="23"/>
        <v/>
      </c>
      <c r="V65" s="117"/>
      <c r="W65" s="526" t="str">
        <f t="shared" si="14"/>
        <v/>
      </c>
      <c r="X65" s="425" t="str">
        <f t="shared" si="24"/>
        <v/>
      </c>
      <c r="Y65" s="551"/>
      <c r="Z65" s="496" t="str">
        <f t="shared" si="31"/>
        <v/>
      </c>
      <c r="AA65" s="497" t="str">
        <f t="shared" si="25"/>
        <v/>
      </c>
      <c r="AB65" s="498" t="str">
        <f t="shared" si="26"/>
        <v/>
      </c>
      <c r="AC65" s="118"/>
      <c r="AD65" s="522" t="str">
        <f t="shared" si="15"/>
        <v/>
      </c>
      <c r="AE65" s="425" t="str">
        <f t="shared" si="27"/>
        <v/>
      </c>
      <c r="AL65" s="426">
        <f t="shared" si="32"/>
        <v>0</v>
      </c>
      <c r="AM65" s="426">
        <f t="shared" si="32"/>
        <v>0</v>
      </c>
      <c r="AN65" s="426" t="e">
        <f t="shared" si="33"/>
        <v>#VALUE!</v>
      </c>
      <c r="AO65" s="426" t="e">
        <f t="shared" si="33"/>
        <v>#VALUE!</v>
      </c>
      <c r="AP65" s="427" t="e">
        <f t="shared" si="17"/>
        <v>#VALUE!</v>
      </c>
      <c r="AQ65" s="162">
        <f t="shared" si="16"/>
        <v>51</v>
      </c>
    </row>
    <row r="66" spans="1:43" x14ac:dyDescent="0.2">
      <c r="A66" s="95"/>
      <c r="B66" s="554"/>
      <c r="C66" s="474" t="str">
        <f t="shared" si="28"/>
        <v/>
      </c>
      <c r="D66" s="282" t="str">
        <f>IF(ISNUMBER(MATCH(C66,NDAWN!$A$6:$A$237,0))=TRUE,(VLOOKUP(C66,NDAWN!$A$6:$K$237,9,FALSE)),(""))</f>
        <v/>
      </c>
      <c r="E66" s="282" t="str">
        <f>IF(ISNUMBER(MATCH(C66,NDAWN!$A$6:$A$237,0))=TRUE,(VLOOKUP(C66,NDAWN!$A$6:$K$237,11,FALSE)),(""))</f>
        <v/>
      </c>
      <c r="F66" s="116">
        <f>IFERROR(VLOOKUP(C66,'Net Irrigation Calculator'!$A$10:$G$26,7,FALSE),(0))</f>
        <v>0</v>
      </c>
      <c r="G66" s="475" t="str">
        <f>IF(ISNUMBER(MATCH(C66,'Moisture Sensors (tensiometer)'!$AF$9:$AF$19,0))=TRUE,(VLOOKUP(C66,'Moisture Sensors (tensiometer)'!$AF$9:$AG$19,2)),(IF(D66="","",IF($D$9&gt;=G65,+G65-D66+E66+F66,$D$9))))</f>
        <v/>
      </c>
      <c r="H66" s="423" t="str">
        <f t="shared" si="20"/>
        <v/>
      </c>
      <c r="I66" s="554"/>
      <c r="J66" s="474" t="str">
        <f t="shared" si="29"/>
        <v/>
      </c>
      <c r="K66" s="282" t="str">
        <f>IF(ISNUMBER(MATCH(J66,NDAWN!$A$6:$A$237,0))=TRUE,(VLOOKUP(J66,NDAWN!$A$6:$K$237,9,FALSE)),(""))</f>
        <v/>
      </c>
      <c r="L66" s="282" t="str">
        <f>IF(ISNUMBER(MATCH(J66,NDAWN!$A$6:$A$237,0))=TRUE,(VLOOKUP(J66,NDAWN!$A$6:$K$237,11,FALSE)),(""))</f>
        <v/>
      </c>
      <c r="M66" s="143">
        <f>IFERROR(VLOOKUP(J66,'Net Irrigation Calculator'!$A$10:$G$26,7,FALSE),(0))</f>
        <v>0</v>
      </c>
      <c r="N66" s="483" t="str">
        <f>IF(ISNUMBER(MATCH(J66,'Moisture Sensors (tensiometer)'!$AF$9:$AF$19,0))=TRUE,(VLOOKUP(J66,'Moisture Sensors (tensiometer)'!$AF$9:$AG$19,2)),(IF(K66="","",IF($D$9&gt;=N65,+N65-K66+L66+M66,$D$9))))</f>
        <v/>
      </c>
      <c r="O66" s="424" t="str">
        <f t="shared" si="21"/>
        <v/>
      </c>
      <c r="Q66" s="54"/>
      <c r="R66" s="551"/>
      <c r="S66" s="496" t="str">
        <f t="shared" si="30"/>
        <v/>
      </c>
      <c r="T66" s="497" t="str">
        <f t="shared" si="22"/>
        <v/>
      </c>
      <c r="U66" s="498" t="str">
        <f t="shared" si="23"/>
        <v/>
      </c>
      <c r="V66" s="117"/>
      <c r="W66" s="526" t="str">
        <f t="shared" si="14"/>
        <v/>
      </c>
      <c r="X66" s="425" t="str">
        <f t="shared" si="24"/>
        <v/>
      </c>
      <c r="Y66" s="551"/>
      <c r="Z66" s="496" t="str">
        <f t="shared" si="31"/>
        <v/>
      </c>
      <c r="AA66" s="497" t="str">
        <f t="shared" si="25"/>
        <v/>
      </c>
      <c r="AB66" s="498" t="str">
        <f t="shared" si="26"/>
        <v/>
      </c>
      <c r="AC66" s="118"/>
      <c r="AD66" s="522" t="str">
        <f t="shared" si="15"/>
        <v/>
      </c>
      <c r="AE66" s="425" t="str">
        <f t="shared" si="27"/>
        <v/>
      </c>
      <c r="AL66" s="426">
        <f t="shared" si="32"/>
        <v>0</v>
      </c>
      <c r="AM66" s="426">
        <f t="shared" si="32"/>
        <v>0</v>
      </c>
      <c r="AN66" s="426" t="e">
        <f t="shared" si="33"/>
        <v>#VALUE!</v>
      </c>
      <c r="AO66" s="426" t="e">
        <f t="shared" si="33"/>
        <v>#VALUE!</v>
      </c>
      <c r="AP66" s="427" t="e">
        <f t="shared" si="17"/>
        <v>#VALUE!</v>
      </c>
      <c r="AQ66" s="162">
        <f t="shared" si="16"/>
        <v>52</v>
      </c>
    </row>
    <row r="67" spans="1:43" x14ac:dyDescent="0.2">
      <c r="A67" s="95"/>
      <c r="B67" s="554"/>
      <c r="C67" s="474" t="str">
        <f t="shared" si="28"/>
        <v/>
      </c>
      <c r="D67" s="282" t="str">
        <f>IF(ISNUMBER(MATCH(C67,NDAWN!$A$6:$A$237,0))=TRUE,(VLOOKUP(C67,NDAWN!$A$6:$K$237,9,FALSE)),(""))</f>
        <v/>
      </c>
      <c r="E67" s="282" t="str">
        <f>IF(ISNUMBER(MATCH(C67,NDAWN!$A$6:$A$237,0))=TRUE,(VLOOKUP(C67,NDAWN!$A$6:$K$237,11,FALSE)),(""))</f>
        <v/>
      </c>
      <c r="F67" s="116">
        <f>IFERROR(VLOOKUP(C67,'Net Irrigation Calculator'!$A$10:$G$26,7,FALSE),(0))</f>
        <v>0</v>
      </c>
      <c r="G67" s="475" t="str">
        <f>IF(ISNUMBER(MATCH(C67,'Moisture Sensors (tensiometer)'!$AF$9:$AF$19,0))=TRUE,(VLOOKUP(C67,'Moisture Sensors (tensiometer)'!$AF$9:$AG$19,2)),(IF(D67="","",IF($D$9&gt;=G66,+G66-D67+E67+F67,$D$9))))</f>
        <v/>
      </c>
      <c r="H67" s="423" t="str">
        <f t="shared" si="20"/>
        <v/>
      </c>
      <c r="I67" s="554"/>
      <c r="J67" s="474" t="str">
        <f t="shared" si="29"/>
        <v/>
      </c>
      <c r="K67" s="282" t="str">
        <f>IF(ISNUMBER(MATCH(J67,NDAWN!$A$6:$A$237,0))=TRUE,(VLOOKUP(J67,NDAWN!$A$6:$K$237,9,FALSE)),(""))</f>
        <v/>
      </c>
      <c r="L67" s="282" t="str">
        <f>IF(ISNUMBER(MATCH(J67,NDAWN!$A$6:$A$237,0))=TRUE,(VLOOKUP(J67,NDAWN!$A$6:$K$237,11,FALSE)),(""))</f>
        <v/>
      </c>
      <c r="M67" s="143">
        <f>IFERROR(VLOOKUP(J67,'Net Irrigation Calculator'!$A$10:$G$26,7,FALSE),(0))</f>
        <v>0</v>
      </c>
      <c r="N67" s="483" t="str">
        <f>IF(ISNUMBER(MATCH(J67,'Moisture Sensors (tensiometer)'!$AF$9:$AF$19,0))=TRUE,(VLOOKUP(J67,'Moisture Sensors (tensiometer)'!$AF$9:$AG$19,2)),(IF(K67="","",IF($D$9&gt;=N66,+N66-K67+L67+M67,$D$9))))</f>
        <v/>
      </c>
      <c r="O67" s="424" t="str">
        <f t="shared" si="21"/>
        <v/>
      </c>
      <c r="Q67" s="54"/>
      <c r="R67" s="551"/>
      <c r="S67" s="496" t="str">
        <f t="shared" si="30"/>
        <v/>
      </c>
      <c r="T67" s="497" t="str">
        <f t="shared" si="22"/>
        <v/>
      </c>
      <c r="U67" s="498" t="str">
        <f t="shared" si="23"/>
        <v/>
      </c>
      <c r="V67" s="117"/>
      <c r="W67" s="522" t="str">
        <f t="shared" si="14"/>
        <v/>
      </c>
      <c r="X67" s="425" t="str">
        <f t="shared" si="24"/>
        <v/>
      </c>
      <c r="Y67" s="551"/>
      <c r="Z67" s="496" t="str">
        <f t="shared" si="31"/>
        <v/>
      </c>
      <c r="AA67" s="497" t="str">
        <f t="shared" si="25"/>
        <v/>
      </c>
      <c r="AB67" s="498" t="str">
        <f t="shared" si="26"/>
        <v/>
      </c>
      <c r="AC67" s="118"/>
      <c r="AD67" s="522" t="str">
        <f t="shared" si="15"/>
        <v/>
      </c>
      <c r="AE67" s="425" t="str">
        <f t="shared" si="27"/>
        <v/>
      </c>
      <c r="AL67" s="426">
        <f t="shared" si="32"/>
        <v>0</v>
      </c>
      <c r="AM67" s="426">
        <f t="shared" si="32"/>
        <v>0</v>
      </c>
      <c r="AN67" s="426" t="e">
        <f t="shared" si="33"/>
        <v>#VALUE!</v>
      </c>
      <c r="AO67" s="426" t="e">
        <f t="shared" si="33"/>
        <v>#VALUE!</v>
      </c>
      <c r="AP67" s="427" t="e">
        <f t="shared" si="17"/>
        <v>#VALUE!</v>
      </c>
      <c r="AQ67" s="162">
        <f t="shared" si="16"/>
        <v>53</v>
      </c>
    </row>
    <row r="68" spans="1:43" x14ac:dyDescent="0.2">
      <c r="A68" s="95"/>
      <c r="B68" s="554"/>
      <c r="C68" s="474" t="str">
        <f t="shared" si="28"/>
        <v/>
      </c>
      <c r="D68" s="282" t="str">
        <f>IF(ISNUMBER(MATCH(C68,NDAWN!$A$6:$A$237,0))=TRUE,(VLOOKUP(C68,NDAWN!$A$6:$K$237,9,FALSE)),(""))</f>
        <v/>
      </c>
      <c r="E68" s="282" t="str">
        <f>IF(ISNUMBER(MATCH(C68,NDAWN!$A$6:$A$237,0))=TRUE,(VLOOKUP(C68,NDAWN!$A$6:$K$237,11,FALSE)),(""))</f>
        <v/>
      </c>
      <c r="F68" s="116">
        <f>IFERROR(VLOOKUP(C68,'Net Irrigation Calculator'!$A$10:$G$26,7,FALSE),(0))</f>
        <v>0</v>
      </c>
      <c r="G68" s="475" t="str">
        <f>IF(ISNUMBER(MATCH(C68,'Moisture Sensors (tensiometer)'!$AF$9:$AF$19,0))=TRUE,(VLOOKUP(C68,'Moisture Sensors (tensiometer)'!$AF$9:$AG$19,2)),(IF(D68="","",IF($D$9&gt;=G67,+G67-D68+E68+F68,$D$9))))</f>
        <v/>
      </c>
      <c r="H68" s="423" t="str">
        <f t="shared" si="20"/>
        <v/>
      </c>
      <c r="I68" s="554"/>
      <c r="J68" s="474" t="str">
        <f t="shared" si="29"/>
        <v/>
      </c>
      <c r="K68" s="282" t="str">
        <f>IF(ISNUMBER(MATCH(J68,NDAWN!$A$6:$A$237,0))=TRUE,(VLOOKUP(J68,NDAWN!$A$6:$K$237,9,FALSE)),(""))</f>
        <v/>
      </c>
      <c r="L68" s="282" t="str">
        <f>IF(ISNUMBER(MATCH(J68,NDAWN!$A$6:$A$237,0))=TRUE,(VLOOKUP(J68,NDAWN!$A$6:$K$237,11,FALSE)),(""))</f>
        <v/>
      </c>
      <c r="M68" s="143">
        <f>IFERROR(VLOOKUP(J68,'Net Irrigation Calculator'!$A$10:$G$26,7,FALSE),(0))</f>
        <v>0</v>
      </c>
      <c r="N68" s="483" t="str">
        <f>IF(ISNUMBER(MATCH(J68,'Moisture Sensors (tensiometer)'!$AF$9:$AF$19,0))=TRUE,(VLOOKUP(J68,'Moisture Sensors (tensiometer)'!$AF$9:$AG$19,2)),(IF(K68="","",IF($D$9&gt;=N67,+N67-K68+L68+M68,$D$9))))</f>
        <v/>
      </c>
      <c r="O68" s="424" t="str">
        <f t="shared" si="21"/>
        <v/>
      </c>
      <c r="Q68" s="54"/>
      <c r="R68" s="551"/>
      <c r="S68" s="496" t="str">
        <f t="shared" si="30"/>
        <v/>
      </c>
      <c r="T68" s="497" t="str">
        <f t="shared" si="22"/>
        <v/>
      </c>
      <c r="U68" s="498" t="str">
        <f t="shared" si="23"/>
        <v/>
      </c>
      <c r="V68" s="117"/>
      <c r="W68" s="526" t="str">
        <f t="shared" si="14"/>
        <v/>
      </c>
      <c r="X68" s="425" t="str">
        <f t="shared" si="24"/>
        <v/>
      </c>
      <c r="Y68" s="551"/>
      <c r="Z68" s="496" t="str">
        <f t="shared" si="31"/>
        <v/>
      </c>
      <c r="AA68" s="497" t="str">
        <f t="shared" si="25"/>
        <v/>
      </c>
      <c r="AB68" s="498" t="str">
        <f t="shared" si="26"/>
        <v/>
      </c>
      <c r="AC68" s="118"/>
      <c r="AD68" s="522" t="str">
        <f t="shared" si="15"/>
        <v/>
      </c>
      <c r="AE68" s="425" t="str">
        <f t="shared" si="27"/>
        <v/>
      </c>
      <c r="AL68" s="426">
        <f t="shared" si="32"/>
        <v>0</v>
      </c>
      <c r="AM68" s="426">
        <f t="shared" si="32"/>
        <v>0</v>
      </c>
      <c r="AN68" s="426" t="e">
        <f t="shared" si="33"/>
        <v>#VALUE!</v>
      </c>
      <c r="AO68" s="426" t="e">
        <f t="shared" si="33"/>
        <v>#VALUE!</v>
      </c>
      <c r="AP68" s="427" t="e">
        <f t="shared" si="17"/>
        <v>#VALUE!</v>
      </c>
      <c r="AQ68" s="162">
        <f t="shared" si="16"/>
        <v>54</v>
      </c>
    </row>
    <row r="69" spans="1:43" x14ac:dyDescent="0.2">
      <c r="A69" s="95"/>
      <c r="B69" s="554"/>
      <c r="C69" s="474" t="str">
        <f t="shared" si="28"/>
        <v/>
      </c>
      <c r="D69" s="282" t="str">
        <f>IF(ISNUMBER(MATCH(C69,NDAWN!$A$6:$A$237,0))=TRUE,(VLOOKUP(C69,NDAWN!$A$6:$K$237,9,FALSE)),(""))</f>
        <v/>
      </c>
      <c r="E69" s="282" t="str">
        <f>IF(ISNUMBER(MATCH(C69,NDAWN!$A$6:$A$237,0))=TRUE,(VLOOKUP(C69,NDAWN!$A$6:$K$237,11,FALSE)),(""))</f>
        <v/>
      </c>
      <c r="F69" s="116">
        <f>IFERROR(VLOOKUP(C69,'Net Irrigation Calculator'!$A$10:$G$26,7,FALSE),(0))</f>
        <v>0</v>
      </c>
      <c r="G69" s="475" t="str">
        <f>IF(ISNUMBER(MATCH(C69,'Moisture Sensors (tensiometer)'!$AF$9:$AF$19,0))=TRUE,(VLOOKUP(C69,'Moisture Sensors (tensiometer)'!$AF$9:$AG$19,2)),(IF(D69="","",IF($D$9&gt;=G68,+G68-D69+E69+F69,$D$9))))</f>
        <v/>
      </c>
      <c r="H69" s="423" t="str">
        <f t="shared" si="20"/>
        <v/>
      </c>
      <c r="I69" s="554"/>
      <c r="J69" s="474" t="str">
        <f t="shared" si="29"/>
        <v/>
      </c>
      <c r="K69" s="282" t="str">
        <f>IF(ISNUMBER(MATCH(J69,NDAWN!$A$6:$A$237,0))=TRUE,(VLOOKUP(J69,NDAWN!$A$6:$K$237,9,FALSE)),(""))</f>
        <v/>
      </c>
      <c r="L69" s="282" t="str">
        <f>IF(ISNUMBER(MATCH(J69,NDAWN!$A$6:$A$237,0))=TRUE,(VLOOKUP(J69,NDAWN!$A$6:$K$237,11,FALSE)),(""))</f>
        <v/>
      </c>
      <c r="M69" s="143">
        <f>IFERROR(VLOOKUP(J69,'Net Irrigation Calculator'!$A$10:$G$26,7,FALSE),(0))</f>
        <v>0</v>
      </c>
      <c r="N69" s="483" t="str">
        <f>IF(ISNUMBER(MATCH(J69,'Moisture Sensors (tensiometer)'!$AF$9:$AF$19,0))=TRUE,(VLOOKUP(J69,'Moisture Sensors (tensiometer)'!$AF$9:$AG$19,2)),(IF(K69="","",IF($D$9&gt;=N68,+N68-K69+L69+M69,$D$9))))</f>
        <v/>
      </c>
      <c r="O69" s="424" t="str">
        <f t="shared" si="21"/>
        <v/>
      </c>
      <c r="Q69" s="54"/>
      <c r="R69" s="551"/>
      <c r="S69" s="496" t="str">
        <f t="shared" si="30"/>
        <v/>
      </c>
      <c r="T69" s="497" t="str">
        <f t="shared" si="22"/>
        <v/>
      </c>
      <c r="U69" s="498" t="str">
        <f t="shared" si="23"/>
        <v/>
      </c>
      <c r="V69" s="117"/>
      <c r="W69" s="526" t="str">
        <f t="shared" si="14"/>
        <v/>
      </c>
      <c r="X69" s="425" t="str">
        <f t="shared" si="24"/>
        <v/>
      </c>
      <c r="Y69" s="551"/>
      <c r="Z69" s="496" t="str">
        <f t="shared" si="31"/>
        <v/>
      </c>
      <c r="AA69" s="497" t="str">
        <f t="shared" si="25"/>
        <v/>
      </c>
      <c r="AB69" s="498" t="str">
        <f t="shared" si="26"/>
        <v/>
      </c>
      <c r="AC69" s="118"/>
      <c r="AD69" s="522" t="str">
        <f t="shared" si="15"/>
        <v/>
      </c>
      <c r="AE69" s="425" t="str">
        <f t="shared" si="27"/>
        <v/>
      </c>
      <c r="AL69" s="426">
        <f t="shared" si="32"/>
        <v>0</v>
      </c>
      <c r="AM69" s="426">
        <f t="shared" si="32"/>
        <v>0</v>
      </c>
      <c r="AN69" s="426" t="e">
        <f t="shared" si="33"/>
        <v>#VALUE!</v>
      </c>
      <c r="AO69" s="426" t="e">
        <f t="shared" si="33"/>
        <v>#VALUE!</v>
      </c>
      <c r="AP69" s="427" t="e">
        <f t="shared" si="17"/>
        <v>#VALUE!</v>
      </c>
      <c r="AQ69" s="162">
        <f t="shared" si="16"/>
        <v>55</v>
      </c>
    </row>
    <row r="70" spans="1:43" ht="13.5" thickBot="1" x14ac:dyDescent="0.25">
      <c r="A70" s="95"/>
      <c r="B70" s="555"/>
      <c r="C70" s="476" t="str">
        <f t="shared" si="28"/>
        <v/>
      </c>
      <c r="D70" s="477" t="str">
        <f>IF(ISNUMBER(MATCH(C70,NDAWN!$A$6:$A$237,0))=TRUE,(VLOOKUP(C70,NDAWN!$A$6:$K$237,9,FALSE)),(""))</f>
        <v/>
      </c>
      <c r="E70" s="477" t="str">
        <f>IF(ISNUMBER(MATCH(C70,NDAWN!$A$6:$A$237,0))=TRUE,(VLOOKUP(C70,NDAWN!$A$6:$K$237,11,FALSE)),(""))</f>
        <v/>
      </c>
      <c r="F70" s="478">
        <f>IFERROR(VLOOKUP(C70,'Net Irrigation Calculator'!$A$10:$G$26,7,FALSE),(0))</f>
        <v>0</v>
      </c>
      <c r="G70" s="524" t="str">
        <f>IF(ISNUMBER(MATCH(C70,'Moisture Sensors (tensiometer)'!$AF$9:$AF$19,0))=TRUE,(VLOOKUP(C70,'Moisture Sensors (tensiometer)'!$AF$9:$AG$19,2)),(IF(D70="","",IF($D$9&gt;=G69,+G69-D70+E70+F70,$D$9))))</f>
        <v/>
      </c>
      <c r="H70" s="423" t="str">
        <f t="shared" si="20"/>
        <v/>
      </c>
      <c r="I70" s="555"/>
      <c r="J70" s="476" t="str">
        <f t="shared" si="29"/>
        <v/>
      </c>
      <c r="K70" s="477" t="str">
        <f>IF(ISNUMBER(MATCH(J70,NDAWN!$A$6:$A$237,0))=TRUE,(VLOOKUP(J70,NDAWN!$A$6:$K$237,9,FALSE)),(""))</f>
        <v/>
      </c>
      <c r="L70" s="477" t="str">
        <f>IF(ISNUMBER(MATCH(J70,NDAWN!$A$6:$A$237,0))=TRUE,(VLOOKUP(J70,NDAWN!$A$6:$K$237,11,FALSE)),(""))</f>
        <v/>
      </c>
      <c r="M70" s="484">
        <f>IFERROR(VLOOKUP(J70,'Net Irrigation Calculator'!$A$10:$G$26,7,FALSE),(0))</f>
        <v>0</v>
      </c>
      <c r="N70" s="485" t="str">
        <f>IF(ISNUMBER(MATCH(J70,'Moisture Sensors (tensiometer)'!$AF$9:$AF$19,0))=TRUE,(VLOOKUP(J70,'Moisture Sensors (tensiometer)'!$AF$9:$AG$19,2)),(IF(K70="","",IF($D$9&gt;=N69,+N69-K70+L70+M70,$D$9))))</f>
        <v/>
      </c>
      <c r="O70" s="424" t="str">
        <f t="shared" si="21"/>
        <v/>
      </c>
      <c r="Q70" s="54"/>
      <c r="R70" s="552"/>
      <c r="S70" s="499" t="str">
        <f t="shared" si="30"/>
        <v/>
      </c>
      <c r="T70" s="500" t="str">
        <f t="shared" si="22"/>
        <v/>
      </c>
      <c r="U70" s="501" t="str">
        <f t="shared" si="23"/>
        <v/>
      </c>
      <c r="V70" s="502"/>
      <c r="W70" s="527" t="str">
        <f t="shared" si="14"/>
        <v/>
      </c>
      <c r="X70" s="425" t="str">
        <f t="shared" si="24"/>
        <v/>
      </c>
      <c r="Y70" s="551"/>
      <c r="Z70" s="496" t="str">
        <f t="shared" si="31"/>
        <v/>
      </c>
      <c r="AA70" s="497" t="str">
        <f t="shared" si="25"/>
        <v/>
      </c>
      <c r="AB70" s="498" t="str">
        <f t="shared" si="26"/>
        <v/>
      </c>
      <c r="AC70" s="504"/>
      <c r="AD70" s="523" t="str">
        <f t="shared" si="15"/>
        <v/>
      </c>
      <c r="AE70" s="425" t="str">
        <f t="shared" si="27"/>
        <v/>
      </c>
      <c r="AL70" s="426">
        <f t="shared" si="32"/>
        <v>0</v>
      </c>
      <c r="AM70" s="426">
        <f t="shared" si="32"/>
        <v>0</v>
      </c>
      <c r="AN70" s="426" t="e">
        <f t="shared" si="33"/>
        <v>#VALUE!</v>
      </c>
      <c r="AO70" s="426" t="e">
        <f t="shared" si="33"/>
        <v>#VALUE!</v>
      </c>
      <c r="AP70" s="427" t="e">
        <f t="shared" si="17"/>
        <v>#VALUE!</v>
      </c>
      <c r="AQ70" s="162">
        <f t="shared" si="16"/>
        <v>56</v>
      </c>
    </row>
    <row r="71" spans="1:43" ht="13.5" customHeight="1" x14ac:dyDescent="0.2">
      <c r="A71" s="105"/>
      <c r="B71" s="553" t="str">
        <f>IF($D$5="","",HLOOKUP('IWM Evaluation'!$D$5,'General Information'!$O$2:$V$26,10,FALSE))</f>
        <v>Week 9</v>
      </c>
      <c r="C71" s="480" t="str">
        <f t="shared" si="28"/>
        <v/>
      </c>
      <c r="D71" s="471" t="str">
        <f>IF(ISNUMBER(MATCH(C71,NDAWN!$A$6:$A$237,0))=TRUE,(VLOOKUP(C71,NDAWN!$A$6:$K$237,9,FALSE)),(""))</f>
        <v/>
      </c>
      <c r="E71" s="471" t="str">
        <f>IF(ISNUMBER(MATCH(C71,NDAWN!$A$6:$A$237,0))=TRUE,(VLOOKUP(C71,NDAWN!$A$6:$K$237,11,FALSE)),(""))</f>
        <v/>
      </c>
      <c r="F71" s="472">
        <f>IFERROR(VLOOKUP(C71,'Net Irrigation Calculator'!$A$10:$G$26,7,FALSE),(0))</f>
        <v>0</v>
      </c>
      <c r="G71" s="473" t="str">
        <f>IF(ISNUMBER(MATCH(C71,'Moisture Sensors (tensiometer)'!$AF$9:$AF$19,0))=TRUE,(VLOOKUP(C71,'Moisture Sensors (tensiometer)'!$AF$9:$AG$19,2)),(IF(D71="","",IF($D$9&gt;=G70,+G70-D71+E71+F71,$D$9))))</f>
        <v/>
      </c>
      <c r="H71" s="423" t="str">
        <f t="shared" si="20"/>
        <v/>
      </c>
      <c r="I71" s="553" t="str">
        <f>IF($D$5="","",HLOOKUP('IWM Evaluation'!$D$5,'General Information'!$O$2:$V$26,22,FALSE))</f>
        <v>Week 21</v>
      </c>
      <c r="J71" s="480" t="str">
        <f t="shared" si="29"/>
        <v/>
      </c>
      <c r="K71" s="471" t="str">
        <f>IF(ISNUMBER(MATCH(J71,NDAWN!$A$6:$A$237,0))=TRUE,(VLOOKUP(J71,NDAWN!$A$6:$K$237,9,FALSE)),(""))</f>
        <v/>
      </c>
      <c r="L71" s="471" t="str">
        <f>IF(ISNUMBER(MATCH(J71,NDAWN!$A$6:$A$237,0))=TRUE,(VLOOKUP(J71,NDAWN!$A$6:$K$237,11,FALSE)),(""))</f>
        <v/>
      </c>
      <c r="M71" s="481">
        <f>IFERROR(VLOOKUP(J71,'Net Irrigation Calculator'!$A$10:$G$26,7,FALSE),(0))</f>
        <v>0</v>
      </c>
      <c r="N71" s="482" t="str">
        <f>IF(ISNUMBER(MATCH(J71,'Moisture Sensors (tensiometer)'!$AF$9:$AF$19,0))=TRUE,(VLOOKUP(J71,'Moisture Sensors (tensiometer)'!$AF$9:$AG$19,2)),(IF(K71="","",IF($D$9&gt;=N70,+N70-K71+L71+M71,$D$9))))</f>
        <v/>
      </c>
      <c r="O71" s="424" t="str">
        <f t="shared" si="21"/>
        <v/>
      </c>
      <c r="Q71" s="54"/>
      <c r="R71" s="550" t="str">
        <f>IF($D$5="","",HLOOKUP('IWM Evaluation'!$D$5,'General Information'!$O$2:$V$26,10,FALSE))</f>
        <v>Week 9</v>
      </c>
      <c r="S71" s="503" t="str">
        <f t="shared" si="30"/>
        <v/>
      </c>
      <c r="T71" s="493" t="str">
        <f t="shared" si="22"/>
        <v/>
      </c>
      <c r="U71" s="494" t="str">
        <f t="shared" si="23"/>
        <v/>
      </c>
      <c r="V71" s="495"/>
      <c r="W71" s="525" t="str">
        <f t="shared" si="14"/>
        <v/>
      </c>
      <c r="X71" s="425" t="str">
        <f t="shared" si="24"/>
        <v/>
      </c>
      <c r="Y71" s="550" t="str">
        <f>IF($D$5="","",HLOOKUP('IWM Evaluation'!$D$5,'General Information'!$O$2:$V$26,22,FALSE))</f>
        <v>Week 21</v>
      </c>
      <c r="Z71" s="503" t="str">
        <f t="shared" si="31"/>
        <v/>
      </c>
      <c r="AA71" s="493" t="str">
        <f t="shared" si="25"/>
        <v/>
      </c>
      <c r="AB71" s="494" t="str">
        <f t="shared" si="26"/>
        <v/>
      </c>
      <c r="AC71" s="506"/>
      <c r="AD71" s="521" t="str">
        <f t="shared" si="15"/>
        <v/>
      </c>
      <c r="AE71" s="425" t="str">
        <f t="shared" si="27"/>
        <v/>
      </c>
      <c r="AL71" s="426">
        <f t="shared" si="32"/>
        <v>0</v>
      </c>
      <c r="AM71" s="426">
        <f t="shared" si="32"/>
        <v>0</v>
      </c>
      <c r="AN71" s="426" t="e">
        <f t="shared" si="33"/>
        <v>#VALUE!</v>
      </c>
      <c r="AO71" s="426" t="e">
        <f t="shared" si="33"/>
        <v>#VALUE!</v>
      </c>
      <c r="AP71" s="427" t="e">
        <f t="shared" si="17"/>
        <v>#VALUE!</v>
      </c>
      <c r="AQ71" s="162">
        <f t="shared" si="16"/>
        <v>57</v>
      </c>
    </row>
    <row r="72" spans="1:43" x14ac:dyDescent="0.2">
      <c r="A72" s="105"/>
      <c r="B72" s="554"/>
      <c r="C72" s="474" t="str">
        <f t="shared" si="28"/>
        <v/>
      </c>
      <c r="D72" s="282" t="str">
        <f>IF(ISNUMBER(MATCH(C72,NDAWN!$A$6:$A$237,0))=TRUE,(VLOOKUP(C72,NDAWN!$A$6:$K$237,9,FALSE)),(""))</f>
        <v/>
      </c>
      <c r="E72" s="282" t="str">
        <f>IF(ISNUMBER(MATCH(C72,NDAWN!$A$6:$A$237,0))=TRUE,(VLOOKUP(C72,NDAWN!$A$6:$K$237,11,FALSE)),(""))</f>
        <v/>
      </c>
      <c r="F72" s="116">
        <f>IFERROR(VLOOKUP(C72,'Net Irrigation Calculator'!$A$10:$G$26,7,FALSE),(0))</f>
        <v>0</v>
      </c>
      <c r="G72" s="475" t="str">
        <f>IF(ISNUMBER(MATCH(C72,'Moisture Sensors (tensiometer)'!$AF$9:$AF$19,0))=TRUE,(VLOOKUP(C72,'Moisture Sensors (tensiometer)'!$AF$9:$AG$19,2)),(IF(D72="","",IF($D$9&gt;=G71,+G71-D72+E72+F72,$D$9))))</f>
        <v/>
      </c>
      <c r="H72" s="423" t="str">
        <f t="shared" si="20"/>
        <v/>
      </c>
      <c r="I72" s="554"/>
      <c r="J72" s="474" t="str">
        <f t="shared" si="29"/>
        <v/>
      </c>
      <c r="K72" s="282" t="str">
        <f>IF(ISNUMBER(MATCH(J72,NDAWN!$A$6:$A$237,0))=TRUE,(VLOOKUP(J72,NDAWN!$A$6:$K$237,9,FALSE)),(""))</f>
        <v/>
      </c>
      <c r="L72" s="282" t="str">
        <f>IF(ISNUMBER(MATCH(J72,NDAWN!$A$6:$A$237,0))=TRUE,(VLOOKUP(J72,NDAWN!$A$6:$K$237,11,FALSE)),(""))</f>
        <v/>
      </c>
      <c r="M72" s="143">
        <f>IFERROR(VLOOKUP(J72,'Net Irrigation Calculator'!$A$10:$G$26,7,FALSE),(0))</f>
        <v>0</v>
      </c>
      <c r="N72" s="483" t="str">
        <f>IF(ISNUMBER(MATCH(J72,'Moisture Sensors (tensiometer)'!$AF$9:$AF$19,0))=TRUE,(VLOOKUP(J72,'Moisture Sensors (tensiometer)'!$AF$9:$AG$19,2)),(IF(K72="","",IF($D$9&gt;=N71,+N71-K72+L72+M72,$D$9))))</f>
        <v/>
      </c>
      <c r="O72" s="424" t="str">
        <f t="shared" si="21"/>
        <v/>
      </c>
      <c r="Q72" s="54"/>
      <c r="R72" s="551"/>
      <c r="S72" s="496" t="str">
        <f t="shared" si="30"/>
        <v/>
      </c>
      <c r="T72" s="497" t="str">
        <f t="shared" si="22"/>
        <v/>
      </c>
      <c r="U72" s="498" t="str">
        <f t="shared" si="23"/>
        <v/>
      </c>
      <c r="V72" s="117"/>
      <c r="W72" s="526" t="str">
        <f t="shared" si="14"/>
        <v/>
      </c>
      <c r="X72" s="425" t="str">
        <f t="shared" si="24"/>
        <v/>
      </c>
      <c r="Y72" s="551"/>
      <c r="Z72" s="496" t="str">
        <f t="shared" si="31"/>
        <v/>
      </c>
      <c r="AA72" s="497" t="str">
        <f t="shared" si="25"/>
        <v/>
      </c>
      <c r="AB72" s="498" t="str">
        <f t="shared" si="26"/>
        <v/>
      </c>
      <c r="AC72" s="118"/>
      <c r="AD72" s="522" t="str">
        <f t="shared" si="15"/>
        <v/>
      </c>
      <c r="AE72" s="425" t="str">
        <f t="shared" si="27"/>
        <v/>
      </c>
      <c r="AL72" s="426">
        <f t="shared" si="32"/>
        <v>0</v>
      </c>
      <c r="AM72" s="426">
        <f t="shared" si="32"/>
        <v>0</v>
      </c>
      <c r="AN72" s="426" t="e">
        <f t="shared" si="33"/>
        <v>#VALUE!</v>
      </c>
      <c r="AO72" s="426" t="e">
        <f t="shared" si="33"/>
        <v>#VALUE!</v>
      </c>
      <c r="AP72" s="427" t="e">
        <f t="shared" si="17"/>
        <v>#VALUE!</v>
      </c>
      <c r="AQ72" s="162">
        <f t="shared" si="16"/>
        <v>58</v>
      </c>
    </row>
    <row r="73" spans="1:43" x14ac:dyDescent="0.2">
      <c r="A73" s="105"/>
      <c r="B73" s="554"/>
      <c r="C73" s="474" t="str">
        <f t="shared" si="28"/>
        <v/>
      </c>
      <c r="D73" s="282" t="str">
        <f>IF(ISNUMBER(MATCH(C73,NDAWN!$A$6:$A$237,0))=TRUE,(VLOOKUP(C73,NDAWN!$A$6:$K$237,9,FALSE)),(""))</f>
        <v/>
      </c>
      <c r="E73" s="282" t="str">
        <f>IF(ISNUMBER(MATCH(C73,NDAWN!$A$6:$A$237,0))=TRUE,(VLOOKUP(C73,NDAWN!$A$6:$K$237,11,FALSE)),(""))</f>
        <v/>
      </c>
      <c r="F73" s="116">
        <f>IFERROR(VLOOKUP(C73,'Net Irrigation Calculator'!$A$10:$G$26,7,FALSE),(0))</f>
        <v>0</v>
      </c>
      <c r="G73" s="475" t="str">
        <f>IF(ISNUMBER(MATCH(C73,'Moisture Sensors (tensiometer)'!$AF$9:$AF$19,0))=TRUE,(VLOOKUP(C73,'Moisture Sensors (tensiometer)'!$AF$9:$AG$19,2)),(IF(D73="","",IF($D$9&gt;=G72,+G72-D73+E73+F73,$D$9))))</f>
        <v/>
      </c>
      <c r="H73" s="423" t="str">
        <f t="shared" si="20"/>
        <v/>
      </c>
      <c r="I73" s="554"/>
      <c r="J73" s="474" t="str">
        <f t="shared" si="29"/>
        <v/>
      </c>
      <c r="K73" s="282" t="str">
        <f>IF(ISNUMBER(MATCH(J73,NDAWN!$A$6:$A$237,0))=TRUE,(VLOOKUP(J73,NDAWN!$A$6:$K$237,9,FALSE)),(""))</f>
        <v/>
      </c>
      <c r="L73" s="282" t="str">
        <f>IF(ISNUMBER(MATCH(J73,NDAWN!$A$6:$A$237,0))=TRUE,(VLOOKUP(J73,NDAWN!$A$6:$K$237,11,FALSE)),(""))</f>
        <v/>
      </c>
      <c r="M73" s="143">
        <f>IFERROR(VLOOKUP(J73,'Net Irrigation Calculator'!$A$10:$G$26,7,FALSE),(0))</f>
        <v>0</v>
      </c>
      <c r="N73" s="483" t="str">
        <f>IF(ISNUMBER(MATCH(J73,'Moisture Sensors (tensiometer)'!$AF$9:$AF$19,0))=TRUE,(VLOOKUP(J73,'Moisture Sensors (tensiometer)'!$AF$9:$AG$19,2)),(IF(K73="","",IF($D$9&gt;=N72,+N72-K73+L73+M73,$D$9))))</f>
        <v/>
      </c>
      <c r="O73" s="424" t="str">
        <f t="shared" si="21"/>
        <v/>
      </c>
      <c r="Q73" s="54"/>
      <c r="R73" s="551"/>
      <c r="S73" s="496" t="str">
        <f t="shared" si="30"/>
        <v/>
      </c>
      <c r="T73" s="497" t="str">
        <f t="shared" si="22"/>
        <v/>
      </c>
      <c r="U73" s="498" t="str">
        <f t="shared" si="23"/>
        <v/>
      </c>
      <c r="V73" s="117"/>
      <c r="W73" s="526" t="str">
        <f t="shared" si="14"/>
        <v/>
      </c>
      <c r="X73" s="425" t="str">
        <f t="shared" si="24"/>
        <v/>
      </c>
      <c r="Y73" s="551"/>
      <c r="Z73" s="496" t="str">
        <f t="shared" si="31"/>
        <v/>
      </c>
      <c r="AA73" s="497" t="str">
        <f t="shared" si="25"/>
        <v/>
      </c>
      <c r="AB73" s="498" t="str">
        <f t="shared" si="26"/>
        <v/>
      </c>
      <c r="AC73" s="118"/>
      <c r="AD73" s="522" t="str">
        <f t="shared" si="15"/>
        <v/>
      </c>
      <c r="AE73" s="425" t="str">
        <f t="shared" si="27"/>
        <v/>
      </c>
      <c r="AL73" s="426">
        <f t="shared" si="32"/>
        <v>0</v>
      </c>
      <c r="AM73" s="426">
        <f t="shared" si="32"/>
        <v>0</v>
      </c>
      <c r="AN73" s="426" t="e">
        <f t="shared" si="33"/>
        <v>#VALUE!</v>
      </c>
      <c r="AO73" s="426" t="e">
        <f t="shared" si="33"/>
        <v>#VALUE!</v>
      </c>
      <c r="AP73" s="427" t="e">
        <f t="shared" si="17"/>
        <v>#VALUE!</v>
      </c>
      <c r="AQ73" s="162">
        <f t="shared" si="16"/>
        <v>59</v>
      </c>
    </row>
    <row r="74" spans="1:43" x14ac:dyDescent="0.2">
      <c r="A74" s="105"/>
      <c r="B74" s="554"/>
      <c r="C74" s="474" t="str">
        <f t="shared" si="28"/>
        <v/>
      </c>
      <c r="D74" s="282" t="str">
        <f>IF(ISNUMBER(MATCH(C74,NDAWN!$A$6:$A$237,0))=TRUE,(VLOOKUP(C74,NDAWN!$A$6:$K$237,9,FALSE)),(""))</f>
        <v/>
      </c>
      <c r="E74" s="282" t="str">
        <f>IF(ISNUMBER(MATCH(C74,NDAWN!$A$6:$A$237,0))=TRUE,(VLOOKUP(C74,NDAWN!$A$6:$K$237,11,FALSE)),(""))</f>
        <v/>
      </c>
      <c r="F74" s="116">
        <f>IFERROR(VLOOKUP(C74,'Net Irrigation Calculator'!$A$10:$G$26,7,FALSE),(0))</f>
        <v>0</v>
      </c>
      <c r="G74" s="475" t="str">
        <f>IF(ISNUMBER(MATCH(C74,'Moisture Sensors (tensiometer)'!$AF$9:$AF$19,0))=TRUE,(VLOOKUP(C74,'Moisture Sensors (tensiometer)'!$AF$9:$AG$19,2)),(IF(D74="","",IF($D$9&gt;=G73,+G73-D74+E74+F74,$D$9))))</f>
        <v/>
      </c>
      <c r="H74" s="423" t="str">
        <f t="shared" si="20"/>
        <v/>
      </c>
      <c r="I74" s="554"/>
      <c r="J74" s="474" t="str">
        <f t="shared" si="29"/>
        <v/>
      </c>
      <c r="K74" s="282" t="str">
        <f>IF(ISNUMBER(MATCH(J74,NDAWN!$A$6:$A$237,0))=TRUE,(VLOOKUP(J74,NDAWN!$A$6:$K$237,9,FALSE)),(""))</f>
        <v/>
      </c>
      <c r="L74" s="282" t="str">
        <f>IF(ISNUMBER(MATCH(J74,NDAWN!$A$6:$A$237,0))=TRUE,(VLOOKUP(J74,NDAWN!$A$6:$K$237,11,FALSE)),(""))</f>
        <v/>
      </c>
      <c r="M74" s="143">
        <f>IFERROR(VLOOKUP(J74,'Net Irrigation Calculator'!$A$10:$G$26,7,FALSE),(0))</f>
        <v>0</v>
      </c>
      <c r="N74" s="483" t="str">
        <f>IF(ISNUMBER(MATCH(J74,'Moisture Sensors (tensiometer)'!$AF$9:$AF$19,0))=TRUE,(VLOOKUP(J74,'Moisture Sensors (tensiometer)'!$AF$9:$AG$19,2)),(IF(K74="","",IF($D$9&gt;=N73,+N73-K74+L74+M74,$D$9))))</f>
        <v/>
      </c>
      <c r="O74" s="424" t="str">
        <f t="shared" si="21"/>
        <v/>
      </c>
      <c r="Q74" s="54"/>
      <c r="R74" s="551"/>
      <c r="S74" s="496" t="str">
        <f t="shared" si="30"/>
        <v/>
      </c>
      <c r="T74" s="497" t="str">
        <f t="shared" si="22"/>
        <v/>
      </c>
      <c r="U74" s="498" t="str">
        <f t="shared" si="23"/>
        <v/>
      </c>
      <c r="V74" s="117"/>
      <c r="W74" s="522" t="str">
        <f t="shared" si="14"/>
        <v/>
      </c>
      <c r="X74" s="425" t="str">
        <f t="shared" si="24"/>
        <v/>
      </c>
      <c r="Y74" s="551"/>
      <c r="Z74" s="496" t="str">
        <f t="shared" si="31"/>
        <v/>
      </c>
      <c r="AA74" s="497" t="str">
        <f t="shared" si="25"/>
        <v/>
      </c>
      <c r="AB74" s="498" t="str">
        <f t="shared" si="26"/>
        <v/>
      </c>
      <c r="AC74" s="118"/>
      <c r="AD74" s="522" t="str">
        <f t="shared" si="15"/>
        <v/>
      </c>
      <c r="AE74" s="425" t="str">
        <f t="shared" si="27"/>
        <v/>
      </c>
      <c r="AL74" s="426">
        <f t="shared" si="32"/>
        <v>0</v>
      </c>
      <c r="AM74" s="426">
        <f t="shared" si="32"/>
        <v>0</v>
      </c>
      <c r="AN74" s="426" t="e">
        <f t="shared" si="33"/>
        <v>#VALUE!</v>
      </c>
      <c r="AO74" s="426" t="e">
        <f t="shared" si="33"/>
        <v>#VALUE!</v>
      </c>
      <c r="AP74" s="427" t="e">
        <f t="shared" si="17"/>
        <v>#VALUE!</v>
      </c>
      <c r="AQ74" s="162">
        <f t="shared" si="16"/>
        <v>60</v>
      </c>
    </row>
    <row r="75" spans="1:43" x14ac:dyDescent="0.2">
      <c r="A75" s="105"/>
      <c r="B75" s="554"/>
      <c r="C75" s="474" t="str">
        <f t="shared" si="28"/>
        <v/>
      </c>
      <c r="D75" s="282" t="str">
        <f>IF(ISNUMBER(MATCH(C75,NDAWN!$A$6:$A$237,0))=TRUE,(VLOOKUP(C75,NDAWN!$A$6:$K$237,9,FALSE)),(""))</f>
        <v/>
      </c>
      <c r="E75" s="282" t="str">
        <f>IF(ISNUMBER(MATCH(C75,NDAWN!$A$6:$A$237,0))=TRUE,(VLOOKUP(C75,NDAWN!$A$6:$K$237,11,FALSE)),(""))</f>
        <v/>
      </c>
      <c r="F75" s="116">
        <f>IFERROR(VLOOKUP(C75,'Net Irrigation Calculator'!$A$10:$G$26,7,FALSE),(0))</f>
        <v>0</v>
      </c>
      <c r="G75" s="475" t="str">
        <f>IF(ISNUMBER(MATCH(C75,'Moisture Sensors (tensiometer)'!$AF$9:$AF$19,0))=TRUE,(VLOOKUP(C75,'Moisture Sensors (tensiometer)'!$AF$9:$AG$19,2)),(IF(D75="","",IF($D$9&gt;=G74,+G74-D75+E75+F75,$D$9))))</f>
        <v/>
      </c>
      <c r="H75" s="423" t="str">
        <f t="shared" si="20"/>
        <v/>
      </c>
      <c r="I75" s="554"/>
      <c r="J75" s="474" t="str">
        <f t="shared" si="29"/>
        <v/>
      </c>
      <c r="K75" s="282" t="str">
        <f>IF(ISNUMBER(MATCH(J75,NDAWN!$A$6:$A$237,0))=TRUE,(VLOOKUP(J75,NDAWN!$A$6:$K$237,9,FALSE)),(""))</f>
        <v/>
      </c>
      <c r="L75" s="282" t="str">
        <f>IF(ISNUMBER(MATCH(J75,NDAWN!$A$6:$A$237,0))=TRUE,(VLOOKUP(J75,NDAWN!$A$6:$K$237,11,FALSE)),(""))</f>
        <v/>
      </c>
      <c r="M75" s="143">
        <f>IFERROR(VLOOKUP(J75,'Net Irrigation Calculator'!$A$10:$G$26,7,FALSE),(0))</f>
        <v>0</v>
      </c>
      <c r="N75" s="483" t="str">
        <f>IF(ISNUMBER(MATCH(J75,'Moisture Sensors (tensiometer)'!$AF$9:$AF$19,0))=TRUE,(VLOOKUP(J75,'Moisture Sensors (tensiometer)'!$AF$9:$AG$19,2)),(IF(K75="","",IF($D$9&gt;=N74,+N74-K75+L75+M75,$D$9))))</f>
        <v/>
      </c>
      <c r="O75" s="424" t="str">
        <f t="shared" si="21"/>
        <v/>
      </c>
      <c r="Q75" s="54"/>
      <c r="R75" s="551"/>
      <c r="S75" s="496" t="str">
        <f t="shared" si="30"/>
        <v/>
      </c>
      <c r="T75" s="497" t="str">
        <f t="shared" si="22"/>
        <v/>
      </c>
      <c r="U75" s="498" t="str">
        <f t="shared" si="23"/>
        <v/>
      </c>
      <c r="V75" s="117"/>
      <c r="W75" s="526" t="str">
        <f t="shared" si="14"/>
        <v/>
      </c>
      <c r="X75" s="425" t="str">
        <f t="shared" si="24"/>
        <v/>
      </c>
      <c r="Y75" s="551"/>
      <c r="Z75" s="496" t="str">
        <f t="shared" si="31"/>
        <v/>
      </c>
      <c r="AA75" s="497" t="str">
        <f t="shared" si="25"/>
        <v/>
      </c>
      <c r="AB75" s="498" t="str">
        <f t="shared" si="26"/>
        <v/>
      </c>
      <c r="AC75" s="118"/>
      <c r="AD75" s="522" t="str">
        <f t="shared" si="15"/>
        <v/>
      </c>
      <c r="AE75" s="425" t="str">
        <f t="shared" si="27"/>
        <v/>
      </c>
      <c r="AL75" s="426">
        <f t="shared" ref="AL75:AM98" si="34">+$D$9</f>
        <v>0</v>
      </c>
      <c r="AM75" s="426">
        <f t="shared" si="34"/>
        <v>0</v>
      </c>
      <c r="AN75" s="426" t="e">
        <f t="shared" ref="AN75:AO98" si="35">+$W$12</f>
        <v>#VALUE!</v>
      </c>
      <c r="AO75" s="426" t="e">
        <f t="shared" si="35"/>
        <v>#VALUE!</v>
      </c>
      <c r="AP75" s="427" t="e">
        <f t="shared" si="17"/>
        <v>#VALUE!</v>
      </c>
      <c r="AQ75" s="162">
        <f t="shared" si="16"/>
        <v>61</v>
      </c>
    </row>
    <row r="76" spans="1:43" x14ac:dyDescent="0.2">
      <c r="A76" s="105"/>
      <c r="B76" s="554"/>
      <c r="C76" s="474" t="str">
        <f t="shared" si="28"/>
        <v/>
      </c>
      <c r="D76" s="282" t="str">
        <f>IF(ISNUMBER(MATCH(C76,NDAWN!$A$6:$A$237,0))=TRUE,(VLOOKUP(C76,NDAWN!$A$6:$K$237,9,FALSE)),(""))</f>
        <v/>
      </c>
      <c r="E76" s="282" t="str">
        <f>IF(ISNUMBER(MATCH(C76,NDAWN!$A$6:$A$237,0))=TRUE,(VLOOKUP(C76,NDAWN!$A$6:$K$237,11,FALSE)),(""))</f>
        <v/>
      </c>
      <c r="F76" s="116">
        <f>IFERROR(VLOOKUP(C76,'Net Irrigation Calculator'!$A$10:$G$26,7,FALSE),(0))</f>
        <v>0</v>
      </c>
      <c r="G76" s="475" t="str">
        <f>IF(ISNUMBER(MATCH(C76,'Moisture Sensors (tensiometer)'!$AF$9:$AF$19,0))=TRUE,(VLOOKUP(C76,'Moisture Sensors (tensiometer)'!$AF$9:$AG$19,2)),(IF(D76="","",IF($D$9&gt;=G75,+G75-D76+E76+F76,$D$9))))</f>
        <v/>
      </c>
      <c r="H76" s="423" t="str">
        <f t="shared" si="20"/>
        <v/>
      </c>
      <c r="I76" s="554"/>
      <c r="J76" s="474" t="str">
        <f t="shared" si="29"/>
        <v/>
      </c>
      <c r="K76" s="282" t="str">
        <f>IF(ISNUMBER(MATCH(J76,NDAWN!$A$6:$A$237,0))=TRUE,(VLOOKUP(J76,NDAWN!$A$6:$K$237,9,FALSE)),(""))</f>
        <v/>
      </c>
      <c r="L76" s="282" t="str">
        <f>IF(ISNUMBER(MATCH(J76,NDAWN!$A$6:$A$237,0))=TRUE,(VLOOKUP(J76,NDAWN!$A$6:$K$237,11,FALSE)),(""))</f>
        <v/>
      </c>
      <c r="M76" s="143">
        <f>IFERROR(VLOOKUP(J76,'Net Irrigation Calculator'!$A$10:$G$26,7,FALSE),(0))</f>
        <v>0</v>
      </c>
      <c r="N76" s="483" t="str">
        <f>IF(ISNUMBER(MATCH(J76,'Moisture Sensors (tensiometer)'!$AF$9:$AF$19,0))=TRUE,(VLOOKUP(J76,'Moisture Sensors (tensiometer)'!$AF$9:$AG$19,2)),(IF(K76="","",IF($D$9&gt;=N75,+N75-K76+L76+M76,$D$9))))</f>
        <v/>
      </c>
      <c r="O76" s="424" t="str">
        <f t="shared" si="21"/>
        <v/>
      </c>
      <c r="Q76" s="54"/>
      <c r="R76" s="551"/>
      <c r="S76" s="496" t="str">
        <f t="shared" si="30"/>
        <v/>
      </c>
      <c r="T76" s="497" t="str">
        <f t="shared" si="22"/>
        <v/>
      </c>
      <c r="U76" s="498" t="str">
        <f t="shared" si="23"/>
        <v/>
      </c>
      <c r="V76" s="117"/>
      <c r="W76" s="526" t="str">
        <f t="shared" si="14"/>
        <v/>
      </c>
      <c r="X76" s="425" t="str">
        <f t="shared" si="24"/>
        <v/>
      </c>
      <c r="Y76" s="551"/>
      <c r="Z76" s="496" t="str">
        <f t="shared" si="31"/>
        <v/>
      </c>
      <c r="AA76" s="497" t="str">
        <f t="shared" si="25"/>
        <v/>
      </c>
      <c r="AB76" s="498" t="str">
        <f t="shared" si="26"/>
        <v/>
      </c>
      <c r="AC76" s="118"/>
      <c r="AD76" s="522" t="str">
        <f t="shared" si="15"/>
        <v/>
      </c>
      <c r="AE76" s="425" t="str">
        <f t="shared" si="27"/>
        <v/>
      </c>
      <c r="AL76" s="426">
        <f t="shared" si="34"/>
        <v>0</v>
      </c>
      <c r="AM76" s="426">
        <f t="shared" si="34"/>
        <v>0</v>
      </c>
      <c r="AN76" s="426" t="e">
        <f t="shared" si="35"/>
        <v>#VALUE!</v>
      </c>
      <c r="AO76" s="426" t="e">
        <f t="shared" si="35"/>
        <v>#VALUE!</v>
      </c>
      <c r="AP76" s="427" t="e">
        <f t="shared" si="17"/>
        <v>#VALUE!</v>
      </c>
      <c r="AQ76" s="162">
        <f t="shared" si="16"/>
        <v>62</v>
      </c>
    </row>
    <row r="77" spans="1:43" ht="13.5" thickBot="1" x14ac:dyDescent="0.25">
      <c r="A77" s="105"/>
      <c r="B77" s="555"/>
      <c r="C77" s="476" t="str">
        <f t="shared" si="28"/>
        <v/>
      </c>
      <c r="D77" s="477" t="str">
        <f>IF(ISNUMBER(MATCH(C77,NDAWN!$A$6:$A$237,0))=TRUE,(VLOOKUP(C77,NDAWN!$A$6:$K$237,9,FALSE)),(""))</f>
        <v/>
      </c>
      <c r="E77" s="477" t="str">
        <f>IF(ISNUMBER(MATCH(C77,NDAWN!$A$6:$A$237,0))=TRUE,(VLOOKUP(C77,NDAWN!$A$6:$K$237,11,FALSE)),(""))</f>
        <v/>
      </c>
      <c r="F77" s="478">
        <f>IFERROR(VLOOKUP(C77,'Net Irrigation Calculator'!$A$10:$G$26,7,FALSE),(0))</f>
        <v>0</v>
      </c>
      <c r="G77" s="524" t="str">
        <f>IF(ISNUMBER(MATCH(C77,'Moisture Sensors (tensiometer)'!$AF$9:$AF$19,0))=TRUE,(VLOOKUP(C77,'Moisture Sensors (tensiometer)'!$AF$9:$AG$19,2)),(IF(D77="","",IF($D$9&gt;=G76,+G76-D77+E77+F77,$D$9))))</f>
        <v/>
      </c>
      <c r="H77" s="423" t="str">
        <f t="shared" si="20"/>
        <v/>
      </c>
      <c r="I77" s="555"/>
      <c r="J77" s="476" t="str">
        <f t="shared" si="29"/>
        <v/>
      </c>
      <c r="K77" s="477" t="str">
        <f>IF(ISNUMBER(MATCH(J77,NDAWN!$A$6:$A$237,0))=TRUE,(VLOOKUP(J77,NDAWN!$A$6:$K$237,9,FALSE)),(""))</f>
        <v/>
      </c>
      <c r="L77" s="477" t="str">
        <f>IF(ISNUMBER(MATCH(J77,NDAWN!$A$6:$A$237,0))=TRUE,(VLOOKUP(J77,NDAWN!$A$6:$K$237,11,FALSE)),(""))</f>
        <v/>
      </c>
      <c r="M77" s="484">
        <f>IFERROR(VLOOKUP(J77,'Net Irrigation Calculator'!$A$10:$G$26,7,FALSE),(0))</f>
        <v>0</v>
      </c>
      <c r="N77" s="485" t="str">
        <f>IF(ISNUMBER(MATCH(J77,'Moisture Sensors (tensiometer)'!$AF$9:$AF$19,0))=TRUE,(VLOOKUP(J77,'Moisture Sensors (tensiometer)'!$AF$9:$AG$19,2)),(IF(K77="","",IF($D$9&gt;=N76,+N76-K77+L77+M77,$D$9))))</f>
        <v/>
      </c>
      <c r="O77" s="424" t="str">
        <f t="shared" si="21"/>
        <v/>
      </c>
      <c r="Q77" s="54"/>
      <c r="R77" s="552"/>
      <c r="S77" s="499" t="str">
        <f t="shared" si="30"/>
        <v/>
      </c>
      <c r="T77" s="500" t="str">
        <f t="shared" si="22"/>
        <v/>
      </c>
      <c r="U77" s="501" t="str">
        <f t="shared" si="23"/>
        <v/>
      </c>
      <c r="V77" s="502"/>
      <c r="W77" s="527" t="str">
        <f t="shared" si="14"/>
        <v/>
      </c>
      <c r="X77" s="425" t="str">
        <f t="shared" si="24"/>
        <v/>
      </c>
      <c r="Y77" s="552"/>
      <c r="Z77" s="499" t="str">
        <f t="shared" si="31"/>
        <v/>
      </c>
      <c r="AA77" s="500" t="str">
        <f t="shared" si="25"/>
        <v/>
      </c>
      <c r="AB77" s="501" t="str">
        <f t="shared" si="26"/>
        <v/>
      </c>
      <c r="AC77" s="507"/>
      <c r="AD77" s="523" t="str">
        <f t="shared" si="15"/>
        <v/>
      </c>
      <c r="AE77" s="425" t="str">
        <f t="shared" si="27"/>
        <v/>
      </c>
      <c r="AL77" s="426">
        <f t="shared" si="34"/>
        <v>0</v>
      </c>
      <c r="AM77" s="426">
        <f t="shared" si="34"/>
        <v>0</v>
      </c>
      <c r="AN77" s="426" t="e">
        <f t="shared" si="35"/>
        <v>#VALUE!</v>
      </c>
      <c r="AO77" s="426" t="e">
        <f t="shared" si="35"/>
        <v>#VALUE!</v>
      </c>
      <c r="AP77" s="427" t="e">
        <f t="shared" si="17"/>
        <v>#VALUE!</v>
      </c>
      <c r="AQ77" s="162">
        <f t="shared" si="16"/>
        <v>63</v>
      </c>
    </row>
    <row r="78" spans="1:43" ht="13.5" customHeight="1" x14ac:dyDescent="0.2">
      <c r="A78" s="105"/>
      <c r="B78" s="553" t="str">
        <f>IF($D$5="","",HLOOKUP('IWM Evaluation'!$D$5,'General Information'!$O$2:$V$26,11,FALSE))</f>
        <v>Week 10</v>
      </c>
      <c r="C78" s="480" t="str">
        <f t="shared" si="28"/>
        <v/>
      </c>
      <c r="D78" s="471" t="str">
        <f>IF(ISNUMBER(MATCH(C78,NDAWN!$A$6:$A$237,0))=TRUE,(VLOOKUP(C78,NDAWN!$A$6:$K$237,9,FALSE)),(""))</f>
        <v/>
      </c>
      <c r="E78" s="471" t="str">
        <f>IF(ISNUMBER(MATCH(C78,NDAWN!$A$6:$A$237,0))=TRUE,(VLOOKUP(C78,NDAWN!$A$6:$K$237,11,FALSE)),(""))</f>
        <v/>
      </c>
      <c r="F78" s="472">
        <f>IFERROR(VLOOKUP(C78,'Net Irrigation Calculator'!$A$10:$G$26,7,FALSE),(0))</f>
        <v>0</v>
      </c>
      <c r="G78" s="473" t="str">
        <f>IF(ISNUMBER(MATCH(C78,'Moisture Sensors (tensiometer)'!$AF$9:$AF$19,0))=TRUE,(VLOOKUP(C78,'Moisture Sensors (tensiometer)'!$AF$9:$AG$19,2)),(IF(D78="","",IF($D$9&gt;=G77,+G77-D78+E78+F78,$D$9))))</f>
        <v/>
      </c>
      <c r="H78" s="423" t="str">
        <f t="shared" si="20"/>
        <v/>
      </c>
      <c r="I78" s="553" t="str">
        <f>IF($D$5="","",HLOOKUP('IWM Evaluation'!$D$5,'General Information'!$O$2:$V$26,23,FALSE))</f>
        <v>Week 22</v>
      </c>
      <c r="J78" s="480" t="str">
        <f t="shared" si="29"/>
        <v/>
      </c>
      <c r="K78" s="471" t="str">
        <f>IF(ISNUMBER(MATCH(J78,NDAWN!$A$6:$A$237,0))=TRUE,(VLOOKUP(J78,NDAWN!$A$6:$K$237,9,FALSE)),(""))</f>
        <v/>
      </c>
      <c r="L78" s="471" t="str">
        <f>IF(ISNUMBER(MATCH(J78,NDAWN!$A$6:$A$237,0))=TRUE,(VLOOKUP(J78,NDAWN!$A$6:$K$237,11,FALSE)),(""))</f>
        <v/>
      </c>
      <c r="M78" s="481">
        <f>IFERROR(VLOOKUP(J78,'Net Irrigation Calculator'!$A$10:$G$26,7,FALSE),(0))</f>
        <v>0</v>
      </c>
      <c r="N78" s="482" t="str">
        <f>IF(ISNUMBER(MATCH(J78,'Moisture Sensors (tensiometer)'!$AF$9:$AF$19,0))=TRUE,(VLOOKUP(J78,'Moisture Sensors (tensiometer)'!$AF$9:$AG$19,2)),(IF(K78="","",IF($D$9&gt;=N77,+N77-K78+L78+M78,$D$9))))</f>
        <v/>
      </c>
      <c r="O78" s="424" t="str">
        <f t="shared" si="21"/>
        <v/>
      </c>
      <c r="Q78" s="54"/>
      <c r="R78" s="550" t="str">
        <f>IF($D$5="","",HLOOKUP('IWM Evaluation'!$D$5,'General Information'!$O$2:$V$26,11,FALSE))</f>
        <v>Week 10</v>
      </c>
      <c r="S78" s="503" t="str">
        <f t="shared" si="30"/>
        <v/>
      </c>
      <c r="T78" s="493" t="str">
        <f t="shared" si="22"/>
        <v/>
      </c>
      <c r="U78" s="494" t="str">
        <f t="shared" si="23"/>
        <v/>
      </c>
      <c r="V78" s="495"/>
      <c r="W78" s="525" t="str">
        <f t="shared" si="14"/>
        <v/>
      </c>
      <c r="X78" s="425" t="str">
        <f t="shared" si="24"/>
        <v/>
      </c>
      <c r="Y78" s="550" t="str">
        <f>IF($D$5="","",HLOOKUP('IWM Evaluation'!$D$5,'General Information'!$O$2:$V$26,23,FALSE))</f>
        <v>Week 22</v>
      </c>
      <c r="Z78" s="503" t="str">
        <f t="shared" si="31"/>
        <v/>
      </c>
      <c r="AA78" s="493" t="str">
        <f t="shared" si="25"/>
        <v/>
      </c>
      <c r="AB78" s="494" t="str">
        <f t="shared" si="26"/>
        <v/>
      </c>
      <c r="AC78" s="506"/>
      <c r="AD78" s="521" t="str">
        <f t="shared" si="15"/>
        <v/>
      </c>
      <c r="AE78" s="425" t="str">
        <f t="shared" si="27"/>
        <v/>
      </c>
      <c r="AL78" s="426">
        <f t="shared" si="34"/>
        <v>0</v>
      </c>
      <c r="AM78" s="426">
        <f t="shared" si="34"/>
        <v>0</v>
      </c>
      <c r="AN78" s="426" t="e">
        <f t="shared" si="35"/>
        <v>#VALUE!</v>
      </c>
      <c r="AO78" s="426" t="e">
        <f t="shared" si="35"/>
        <v>#VALUE!</v>
      </c>
      <c r="AP78" s="427" t="e">
        <f t="shared" si="17"/>
        <v>#VALUE!</v>
      </c>
      <c r="AQ78" s="162">
        <f t="shared" si="16"/>
        <v>64</v>
      </c>
    </row>
    <row r="79" spans="1:43" x14ac:dyDescent="0.2">
      <c r="A79" s="105"/>
      <c r="B79" s="554"/>
      <c r="C79" s="474" t="str">
        <f t="shared" si="28"/>
        <v/>
      </c>
      <c r="D79" s="282" t="str">
        <f>IF(ISNUMBER(MATCH(C79,NDAWN!$A$6:$A$237,0))=TRUE,(VLOOKUP(C79,NDAWN!$A$6:$K$237,9,FALSE)),(""))</f>
        <v/>
      </c>
      <c r="E79" s="282" t="str">
        <f>IF(ISNUMBER(MATCH(C79,NDAWN!$A$6:$A$237,0))=TRUE,(VLOOKUP(C79,NDAWN!$A$6:$K$237,11,FALSE)),(""))</f>
        <v/>
      </c>
      <c r="F79" s="116">
        <f>IFERROR(VLOOKUP(C79,'Net Irrigation Calculator'!$A$10:$G$26,7,FALSE),(0))</f>
        <v>0</v>
      </c>
      <c r="G79" s="475" t="str">
        <f>IF(ISNUMBER(MATCH(C79,'Moisture Sensors (tensiometer)'!$AF$9:$AF$19,0))=TRUE,(VLOOKUP(C79,'Moisture Sensors (tensiometer)'!$AF$9:$AG$19,2)),(IF(D79="","",IF($D$9&gt;=G78,+G78-D79+E79+F79,$D$9))))</f>
        <v/>
      </c>
      <c r="H79" s="423" t="str">
        <f t="shared" ref="H79:H98" si="36">IF(+G79="","",IF(G79&lt;=+$D$9,IF(G79&lt;$E$12,"Below MAD Level",""),"Runoff or Deep Percolation"))</f>
        <v/>
      </c>
      <c r="I79" s="554"/>
      <c r="J79" s="474" t="str">
        <f t="shared" si="29"/>
        <v/>
      </c>
      <c r="K79" s="282" t="str">
        <f>IF(ISNUMBER(MATCH(J79,NDAWN!$A$6:$A$237,0))=TRUE,(VLOOKUP(J79,NDAWN!$A$6:$K$237,9,FALSE)),(""))</f>
        <v/>
      </c>
      <c r="L79" s="282" t="str">
        <f>IF(ISNUMBER(MATCH(J79,NDAWN!$A$6:$A$237,0))=TRUE,(VLOOKUP(J79,NDAWN!$A$6:$K$237,11,FALSE)),(""))</f>
        <v/>
      </c>
      <c r="M79" s="143">
        <f>IFERROR(VLOOKUP(J79,'Net Irrigation Calculator'!$A$10:$G$26,7,FALSE),(0))</f>
        <v>0</v>
      </c>
      <c r="N79" s="483" t="str">
        <f>IF(ISNUMBER(MATCH(J79,'Moisture Sensors (tensiometer)'!$AF$9:$AF$19,0))=TRUE,(VLOOKUP(J79,'Moisture Sensors (tensiometer)'!$AF$9:$AG$19,2)),(IF(K79="","",IF($D$9&gt;=N78,+N78-K79+L79+M79,$D$9))))</f>
        <v/>
      </c>
      <c r="O79" s="424" t="str">
        <f t="shared" ref="O79:O98" si="37">IF(+N79="","",IF(N79&lt;=+$D$9,IF(N79&lt;$E$12,"Below MAD Level",""),"Runoff or Deep Percolation"))</f>
        <v/>
      </c>
      <c r="Q79" s="54"/>
      <c r="R79" s="551"/>
      <c r="S79" s="496" t="str">
        <f t="shared" si="30"/>
        <v/>
      </c>
      <c r="T79" s="497" t="str">
        <f t="shared" ref="T79:T98" si="38">+D79</f>
        <v/>
      </c>
      <c r="U79" s="498" t="str">
        <f t="shared" ref="U79:U98" si="39">+E79</f>
        <v/>
      </c>
      <c r="V79" s="117"/>
      <c r="W79" s="526" t="str">
        <f t="shared" si="14"/>
        <v/>
      </c>
      <c r="X79" s="425" t="str">
        <f t="shared" ref="X79:X98" si="40">IF(+W79="","",IF(W79&lt;=+$D$9,IF(W79&lt;$E$12,"Below MAD Level",""),"Runoff or Deep Percolation"))</f>
        <v/>
      </c>
      <c r="Y79" s="551"/>
      <c r="Z79" s="496" t="str">
        <f t="shared" si="31"/>
        <v/>
      </c>
      <c r="AA79" s="497" t="str">
        <f t="shared" ref="AA79:AA98" si="41">+K79</f>
        <v/>
      </c>
      <c r="AB79" s="498" t="str">
        <f t="shared" ref="AB79:AB98" si="42">+L79</f>
        <v/>
      </c>
      <c r="AC79" s="118"/>
      <c r="AD79" s="522" t="str">
        <f t="shared" si="15"/>
        <v/>
      </c>
      <c r="AE79" s="425" t="str">
        <f t="shared" ref="AE79:AE98" si="43">IF(+AD79="","",IF(AD79&lt;=+$D$9,IF(AD79&lt;$E$12,"Below MAD Level",""),"Runoff or Deep Percolation"))</f>
        <v/>
      </c>
      <c r="AL79" s="426">
        <f t="shared" si="34"/>
        <v>0</v>
      </c>
      <c r="AM79" s="426">
        <f t="shared" si="34"/>
        <v>0</v>
      </c>
      <c r="AN79" s="426" t="e">
        <f t="shared" si="35"/>
        <v>#VALUE!</v>
      </c>
      <c r="AO79" s="426" t="e">
        <f t="shared" si="35"/>
        <v>#VALUE!</v>
      </c>
      <c r="AP79" s="427" t="e">
        <f t="shared" si="17"/>
        <v>#VALUE!</v>
      </c>
      <c r="AQ79" s="162">
        <f t="shared" si="16"/>
        <v>65</v>
      </c>
    </row>
    <row r="80" spans="1:43" x14ac:dyDescent="0.2">
      <c r="A80" s="105"/>
      <c r="B80" s="554"/>
      <c r="C80" s="474" t="str">
        <f t="shared" ref="C80:C98" si="44">IF($J$5&gt;0,+C79+1,"")</f>
        <v/>
      </c>
      <c r="D80" s="282" t="str">
        <f>IF(ISNUMBER(MATCH(C80,NDAWN!$A$6:$A$237,0))=TRUE,(VLOOKUP(C80,NDAWN!$A$6:$K$237,9,FALSE)),(""))</f>
        <v/>
      </c>
      <c r="E80" s="282" t="str">
        <f>IF(ISNUMBER(MATCH(C80,NDAWN!$A$6:$A$237,0))=TRUE,(VLOOKUP(C80,NDAWN!$A$6:$K$237,11,FALSE)),(""))</f>
        <v/>
      </c>
      <c r="F80" s="116">
        <f>IFERROR(VLOOKUP(C80,'Net Irrigation Calculator'!$A$10:$G$26,7,FALSE),(0))</f>
        <v>0</v>
      </c>
      <c r="G80" s="475" t="str">
        <f>IF(ISNUMBER(MATCH(C80,'Moisture Sensors (tensiometer)'!$AF$9:$AF$19,0))=TRUE,(VLOOKUP(C80,'Moisture Sensors (tensiometer)'!$AF$9:$AG$19,2)),(IF(D80="","",IF($D$9&gt;=G79,+G79-D80+E80+F80,$D$9))))</f>
        <v/>
      </c>
      <c r="H80" s="423" t="str">
        <f t="shared" si="36"/>
        <v/>
      </c>
      <c r="I80" s="554"/>
      <c r="J80" s="474" t="str">
        <f t="shared" ref="J80:J98" si="45">IF($J$5&gt;0,+J79+1,"")</f>
        <v/>
      </c>
      <c r="K80" s="282" t="str">
        <f>IF(ISNUMBER(MATCH(J80,NDAWN!$A$6:$A$237,0))=TRUE,(VLOOKUP(J80,NDAWN!$A$6:$K$237,9,FALSE)),(""))</f>
        <v/>
      </c>
      <c r="L80" s="282" t="str">
        <f>IF(ISNUMBER(MATCH(J80,NDAWN!$A$6:$A$237,0))=TRUE,(VLOOKUP(J80,NDAWN!$A$6:$K$237,11,FALSE)),(""))</f>
        <v/>
      </c>
      <c r="M80" s="143">
        <f>IFERROR(VLOOKUP(J80,'Net Irrigation Calculator'!$A$10:$G$26,7,FALSE),(0))</f>
        <v>0</v>
      </c>
      <c r="N80" s="483" t="str">
        <f>IF(ISNUMBER(MATCH(J80,'Moisture Sensors (tensiometer)'!$AF$9:$AF$19,0))=TRUE,(VLOOKUP(J80,'Moisture Sensors (tensiometer)'!$AF$9:$AG$19,2)),(IF(K80="","",IF($D$9&gt;=N79,+N79-K80+L80+M80,$D$9))))</f>
        <v/>
      </c>
      <c r="O80" s="424" t="str">
        <f t="shared" si="37"/>
        <v/>
      </c>
      <c r="Q80" s="54"/>
      <c r="R80" s="551"/>
      <c r="S80" s="496" t="str">
        <f t="shared" ref="S80:S98" si="46">IF($J$5&gt;0,+S79+1,"")</f>
        <v/>
      </c>
      <c r="T80" s="497" t="str">
        <f t="shared" si="38"/>
        <v/>
      </c>
      <c r="U80" s="498" t="str">
        <f t="shared" si="39"/>
        <v/>
      </c>
      <c r="V80" s="117"/>
      <c r="W80" s="526" t="str">
        <f t="shared" si="14"/>
        <v/>
      </c>
      <c r="X80" s="425" t="str">
        <f t="shared" si="40"/>
        <v/>
      </c>
      <c r="Y80" s="551"/>
      <c r="Z80" s="496" t="str">
        <f t="shared" ref="Z80:Z98" si="47">IF($J$5&gt;0,+Z79+1,"")</f>
        <v/>
      </c>
      <c r="AA80" s="497" t="str">
        <f t="shared" si="41"/>
        <v/>
      </c>
      <c r="AB80" s="498" t="str">
        <f t="shared" si="42"/>
        <v/>
      </c>
      <c r="AC80" s="118"/>
      <c r="AD80" s="522" t="str">
        <f t="shared" si="15"/>
        <v/>
      </c>
      <c r="AE80" s="425" t="str">
        <f t="shared" si="43"/>
        <v/>
      </c>
      <c r="AL80" s="426">
        <f t="shared" si="34"/>
        <v>0</v>
      </c>
      <c r="AM80" s="426">
        <f t="shared" si="34"/>
        <v>0</v>
      </c>
      <c r="AN80" s="426" t="e">
        <f t="shared" si="35"/>
        <v>#VALUE!</v>
      </c>
      <c r="AO80" s="426" t="e">
        <f t="shared" si="35"/>
        <v>#VALUE!</v>
      </c>
      <c r="AP80" s="427" t="e">
        <f t="shared" si="17"/>
        <v>#VALUE!</v>
      </c>
      <c r="AQ80" s="162">
        <f t="shared" si="16"/>
        <v>66</v>
      </c>
    </row>
    <row r="81" spans="1:43" x14ac:dyDescent="0.2">
      <c r="A81" s="105"/>
      <c r="B81" s="554"/>
      <c r="C81" s="474" t="str">
        <f t="shared" si="44"/>
        <v/>
      </c>
      <c r="D81" s="282" t="str">
        <f>IF(ISNUMBER(MATCH(C81,NDAWN!$A$6:$A$237,0))=TRUE,(VLOOKUP(C81,NDAWN!$A$6:$K$237,9,FALSE)),(""))</f>
        <v/>
      </c>
      <c r="E81" s="282" t="str">
        <f>IF(ISNUMBER(MATCH(C81,NDAWN!$A$6:$A$237,0))=TRUE,(VLOOKUP(C81,NDAWN!$A$6:$K$237,11,FALSE)),(""))</f>
        <v/>
      </c>
      <c r="F81" s="116">
        <f>IFERROR(VLOOKUP(C81,'Net Irrigation Calculator'!$A$10:$G$26,7,FALSE),(0))</f>
        <v>0</v>
      </c>
      <c r="G81" s="475" t="str">
        <f>IF(ISNUMBER(MATCH(C81,'Moisture Sensors (tensiometer)'!$AF$9:$AF$19,0))=TRUE,(VLOOKUP(C81,'Moisture Sensors (tensiometer)'!$AF$9:$AG$19,2)),(IF(D81="","",IF($D$9&gt;=G80,+G80-D81+E81+F81,$D$9))))</f>
        <v/>
      </c>
      <c r="H81" s="423" t="str">
        <f t="shared" si="36"/>
        <v/>
      </c>
      <c r="I81" s="554"/>
      <c r="J81" s="474" t="str">
        <f t="shared" si="45"/>
        <v/>
      </c>
      <c r="K81" s="282" t="str">
        <f>IF(ISNUMBER(MATCH(J81,NDAWN!$A$6:$A$237,0))=TRUE,(VLOOKUP(J81,NDAWN!$A$6:$K$237,9,FALSE)),(""))</f>
        <v/>
      </c>
      <c r="L81" s="282" t="str">
        <f>IF(ISNUMBER(MATCH(J81,NDAWN!$A$6:$A$237,0))=TRUE,(VLOOKUP(J81,NDAWN!$A$6:$K$237,11,FALSE)),(""))</f>
        <v/>
      </c>
      <c r="M81" s="143">
        <f>IFERROR(VLOOKUP(J81,'Net Irrigation Calculator'!$A$10:$G$26,7,FALSE),(0))</f>
        <v>0</v>
      </c>
      <c r="N81" s="483" t="str">
        <f>IF(ISNUMBER(MATCH(J81,'Moisture Sensors (tensiometer)'!$AF$9:$AF$19,0))=TRUE,(VLOOKUP(J81,'Moisture Sensors (tensiometer)'!$AF$9:$AG$19,2)),(IF(K81="","",IF($D$9&gt;=N80,+N80-K81+L81+M81,$D$9))))</f>
        <v/>
      </c>
      <c r="O81" s="424" t="str">
        <f t="shared" si="37"/>
        <v/>
      </c>
      <c r="Q81" s="54"/>
      <c r="R81" s="551"/>
      <c r="S81" s="496" t="str">
        <f t="shared" si="46"/>
        <v/>
      </c>
      <c r="T81" s="497" t="str">
        <f t="shared" si="38"/>
        <v/>
      </c>
      <c r="U81" s="498" t="str">
        <f t="shared" si="39"/>
        <v/>
      </c>
      <c r="V81" s="117"/>
      <c r="W81" s="522" t="str">
        <f t="shared" ref="W81:W98" si="48">IF(_xlfn.ISFORMULA(G81)=FALSE,G81,(IF(OR(T81=0,T81=""),"",IF($D$9&gt;=W80,+W80-T81+U81+V81,$D$9))))</f>
        <v/>
      </c>
      <c r="X81" s="425" t="str">
        <f t="shared" si="40"/>
        <v/>
      </c>
      <c r="Y81" s="551"/>
      <c r="Z81" s="496" t="str">
        <f t="shared" si="47"/>
        <v/>
      </c>
      <c r="AA81" s="497" t="str">
        <f t="shared" si="41"/>
        <v/>
      </c>
      <c r="AB81" s="498" t="str">
        <f t="shared" si="42"/>
        <v/>
      </c>
      <c r="AC81" s="118"/>
      <c r="AD81" s="522" t="str">
        <f t="shared" ref="AD81:AD98" si="49">IF(_xlfn.ISFORMULA(N81)=FALSE,N81,IF(OR(AA81=0,AA81=""),"",IF($D$9&gt;=AD80,+AD80-AA81+AB81+AC81,$D$9)))</f>
        <v/>
      </c>
      <c r="AE81" s="425" t="str">
        <f t="shared" si="43"/>
        <v/>
      </c>
      <c r="AL81" s="426">
        <f t="shared" si="34"/>
        <v>0</v>
      </c>
      <c r="AM81" s="426">
        <f t="shared" si="34"/>
        <v>0</v>
      </c>
      <c r="AN81" s="426" t="e">
        <f t="shared" si="35"/>
        <v>#VALUE!</v>
      </c>
      <c r="AO81" s="426" t="e">
        <f t="shared" si="35"/>
        <v>#VALUE!</v>
      </c>
      <c r="AP81" s="427" t="e">
        <f t="shared" si="17"/>
        <v>#VALUE!</v>
      </c>
      <c r="AQ81" s="162">
        <f t="shared" ref="AQ81:AQ144" si="50">+AQ80+1</f>
        <v>67</v>
      </c>
    </row>
    <row r="82" spans="1:43" x14ac:dyDescent="0.2">
      <c r="A82" s="105"/>
      <c r="B82" s="554"/>
      <c r="C82" s="474" t="str">
        <f t="shared" si="44"/>
        <v/>
      </c>
      <c r="D82" s="282" t="str">
        <f>IF(ISNUMBER(MATCH(C82,NDAWN!$A$6:$A$237,0))=TRUE,(VLOOKUP(C82,NDAWN!$A$6:$K$237,9,FALSE)),(""))</f>
        <v/>
      </c>
      <c r="E82" s="282" t="str">
        <f>IF(ISNUMBER(MATCH(C82,NDAWN!$A$6:$A$237,0))=TRUE,(VLOOKUP(C82,NDAWN!$A$6:$K$237,11,FALSE)),(""))</f>
        <v/>
      </c>
      <c r="F82" s="116">
        <f>IFERROR(VLOOKUP(C82,'Net Irrigation Calculator'!$A$10:$G$26,7,FALSE),(0))</f>
        <v>0</v>
      </c>
      <c r="G82" s="475" t="str">
        <f>IF(ISNUMBER(MATCH(C82,'Moisture Sensors (tensiometer)'!$AF$9:$AF$19,0))=TRUE,(VLOOKUP(C82,'Moisture Sensors (tensiometer)'!$AF$9:$AG$19,2)),(IF(D82="","",IF($D$9&gt;=G81,+G81-D82+E82+F82,$D$9))))</f>
        <v/>
      </c>
      <c r="H82" s="423" t="str">
        <f t="shared" si="36"/>
        <v/>
      </c>
      <c r="I82" s="554"/>
      <c r="J82" s="474" t="str">
        <f t="shared" si="45"/>
        <v/>
      </c>
      <c r="K82" s="282" t="str">
        <f>IF(ISNUMBER(MATCH(J82,NDAWN!$A$6:$A$237,0))=TRUE,(VLOOKUP(J82,NDAWN!$A$6:$K$237,9,FALSE)),(""))</f>
        <v/>
      </c>
      <c r="L82" s="282" t="str">
        <f>IF(ISNUMBER(MATCH(J82,NDAWN!$A$6:$A$237,0))=TRUE,(VLOOKUP(J82,NDAWN!$A$6:$K$237,11,FALSE)),(""))</f>
        <v/>
      </c>
      <c r="M82" s="143">
        <f>IFERROR(VLOOKUP(J82,'Net Irrigation Calculator'!$A$10:$G$26,7,FALSE),(0))</f>
        <v>0</v>
      </c>
      <c r="N82" s="483" t="str">
        <f>IF(ISNUMBER(MATCH(J82,'Moisture Sensors (tensiometer)'!$AF$9:$AF$19,0))=TRUE,(VLOOKUP(J82,'Moisture Sensors (tensiometer)'!$AF$9:$AG$19,2)),(IF(K82="","",IF($D$9&gt;=N81,+N81-K82+L82+M82,$D$9))))</f>
        <v/>
      </c>
      <c r="O82" s="424" t="str">
        <f t="shared" si="37"/>
        <v/>
      </c>
      <c r="Q82" s="54"/>
      <c r="R82" s="551"/>
      <c r="S82" s="496" t="str">
        <f t="shared" si="46"/>
        <v/>
      </c>
      <c r="T82" s="497" t="str">
        <f t="shared" si="38"/>
        <v/>
      </c>
      <c r="U82" s="498" t="str">
        <f t="shared" si="39"/>
        <v/>
      </c>
      <c r="V82" s="117"/>
      <c r="W82" s="526" t="str">
        <f t="shared" si="48"/>
        <v/>
      </c>
      <c r="X82" s="425" t="str">
        <f t="shared" si="40"/>
        <v/>
      </c>
      <c r="Y82" s="551"/>
      <c r="Z82" s="496" t="str">
        <f t="shared" si="47"/>
        <v/>
      </c>
      <c r="AA82" s="497" t="str">
        <f t="shared" si="41"/>
        <v/>
      </c>
      <c r="AB82" s="498" t="str">
        <f t="shared" si="42"/>
        <v/>
      </c>
      <c r="AC82" s="118"/>
      <c r="AD82" s="522" t="str">
        <f t="shared" si="49"/>
        <v/>
      </c>
      <c r="AE82" s="425" t="str">
        <f t="shared" si="43"/>
        <v/>
      </c>
      <c r="AL82" s="426">
        <f t="shared" si="34"/>
        <v>0</v>
      </c>
      <c r="AM82" s="426">
        <f t="shared" si="34"/>
        <v>0</v>
      </c>
      <c r="AN82" s="426" t="e">
        <f t="shared" si="35"/>
        <v>#VALUE!</v>
      </c>
      <c r="AO82" s="426" t="e">
        <f t="shared" si="35"/>
        <v>#VALUE!</v>
      </c>
      <c r="AP82" s="427" t="e">
        <f t="shared" ref="AP82:AP145" si="51">IF(+D82&gt;0,+$AP$15+AP81,"")</f>
        <v>#VALUE!</v>
      </c>
      <c r="AQ82" s="162">
        <f t="shared" si="50"/>
        <v>68</v>
      </c>
    </row>
    <row r="83" spans="1:43" x14ac:dyDescent="0.2">
      <c r="A83" s="105"/>
      <c r="B83" s="554"/>
      <c r="C83" s="474" t="str">
        <f t="shared" si="44"/>
        <v/>
      </c>
      <c r="D83" s="282" t="str">
        <f>IF(ISNUMBER(MATCH(C83,NDAWN!$A$6:$A$237,0))=TRUE,(VLOOKUP(C83,NDAWN!$A$6:$K$237,9,FALSE)),(""))</f>
        <v/>
      </c>
      <c r="E83" s="282" t="str">
        <f>IF(ISNUMBER(MATCH(C83,NDAWN!$A$6:$A$237,0))=TRUE,(VLOOKUP(C83,NDAWN!$A$6:$K$237,11,FALSE)),(""))</f>
        <v/>
      </c>
      <c r="F83" s="116">
        <f>IFERROR(VLOOKUP(C83,'Net Irrigation Calculator'!$A$10:$G$26,7,FALSE),(0))</f>
        <v>0</v>
      </c>
      <c r="G83" s="475" t="str">
        <f>IF(ISNUMBER(MATCH(C83,'Moisture Sensors (tensiometer)'!$AF$9:$AF$19,0))=TRUE,(VLOOKUP(C83,'Moisture Sensors (tensiometer)'!$AF$9:$AG$19,2)),(IF(D83="","",IF($D$9&gt;=G82,+G82-D83+E83+F83,$D$9))))</f>
        <v/>
      </c>
      <c r="H83" s="423" t="str">
        <f t="shared" si="36"/>
        <v/>
      </c>
      <c r="I83" s="554"/>
      <c r="J83" s="474" t="str">
        <f t="shared" si="45"/>
        <v/>
      </c>
      <c r="K83" s="282" t="str">
        <f>IF(ISNUMBER(MATCH(J83,NDAWN!$A$6:$A$237,0))=TRUE,(VLOOKUP(J83,NDAWN!$A$6:$K$237,9,FALSE)),(""))</f>
        <v/>
      </c>
      <c r="L83" s="282" t="str">
        <f>IF(ISNUMBER(MATCH(J83,NDAWN!$A$6:$A$237,0))=TRUE,(VLOOKUP(J83,NDAWN!$A$6:$K$237,11,FALSE)),(""))</f>
        <v/>
      </c>
      <c r="M83" s="143">
        <f>IFERROR(VLOOKUP(J83,'Net Irrigation Calculator'!$A$10:$G$26,7,FALSE),(0))</f>
        <v>0</v>
      </c>
      <c r="N83" s="483" t="str">
        <f>IF(ISNUMBER(MATCH(J83,'Moisture Sensors (tensiometer)'!$AF$9:$AF$19,0))=TRUE,(VLOOKUP(J83,'Moisture Sensors (tensiometer)'!$AF$9:$AG$19,2)),(IF(K83="","",IF($D$9&gt;=N82,+N82-K83+L83+M83,$D$9))))</f>
        <v/>
      </c>
      <c r="O83" s="424" t="str">
        <f t="shared" si="37"/>
        <v/>
      </c>
      <c r="Q83" s="54"/>
      <c r="R83" s="551"/>
      <c r="S83" s="496" t="str">
        <f t="shared" si="46"/>
        <v/>
      </c>
      <c r="T83" s="497" t="str">
        <f t="shared" si="38"/>
        <v/>
      </c>
      <c r="U83" s="498" t="str">
        <f t="shared" si="39"/>
        <v/>
      </c>
      <c r="V83" s="117"/>
      <c r="W83" s="526" t="str">
        <f t="shared" si="48"/>
        <v/>
      </c>
      <c r="X83" s="425" t="str">
        <f t="shared" si="40"/>
        <v/>
      </c>
      <c r="Y83" s="551"/>
      <c r="Z83" s="496" t="str">
        <f t="shared" si="47"/>
        <v/>
      </c>
      <c r="AA83" s="497" t="str">
        <f t="shared" si="41"/>
        <v/>
      </c>
      <c r="AB83" s="498" t="str">
        <f t="shared" si="42"/>
        <v/>
      </c>
      <c r="AC83" s="118"/>
      <c r="AD83" s="522" t="str">
        <f t="shared" si="49"/>
        <v/>
      </c>
      <c r="AE83" s="425" t="str">
        <f t="shared" si="43"/>
        <v/>
      </c>
      <c r="AL83" s="426">
        <f t="shared" si="34"/>
        <v>0</v>
      </c>
      <c r="AM83" s="426">
        <f t="shared" si="34"/>
        <v>0</v>
      </c>
      <c r="AN83" s="426" t="e">
        <f t="shared" si="35"/>
        <v>#VALUE!</v>
      </c>
      <c r="AO83" s="426" t="e">
        <f t="shared" si="35"/>
        <v>#VALUE!</v>
      </c>
      <c r="AP83" s="427" t="e">
        <f t="shared" si="51"/>
        <v>#VALUE!</v>
      </c>
      <c r="AQ83" s="162">
        <f t="shared" si="50"/>
        <v>69</v>
      </c>
    </row>
    <row r="84" spans="1:43" ht="13.5" thickBot="1" x14ac:dyDescent="0.25">
      <c r="A84" s="105"/>
      <c r="B84" s="555"/>
      <c r="C84" s="476" t="str">
        <f t="shared" si="44"/>
        <v/>
      </c>
      <c r="D84" s="477" t="str">
        <f>IF(ISNUMBER(MATCH(C84,NDAWN!$A$6:$A$237,0))=TRUE,(VLOOKUP(C84,NDAWN!$A$6:$K$237,9,FALSE)),(""))</f>
        <v/>
      </c>
      <c r="E84" s="477" t="str">
        <f>IF(ISNUMBER(MATCH(C84,NDAWN!$A$6:$A$237,0))=TRUE,(VLOOKUP(C84,NDAWN!$A$6:$K$237,11,FALSE)),(""))</f>
        <v/>
      </c>
      <c r="F84" s="478">
        <f>IFERROR(VLOOKUP(C84,'Net Irrigation Calculator'!$A$10:$G$26,7,FALSE),(0))</f>
        <v>0</v>
      </c>
      <c r="G84" s="524" t="str">
        <f>IF(ISNUMBER(MATCH(C84,'Moisture Sensors (tensiometer)'!$AF$9:$AF$19,0))=TRUE,(VLOOKUP(C84,'Moisture Sensors (tensiometer)'!$AF$9:$AG$19,2)),(IF(D84="","",IF($D$9&gt;=G83,+G83-D84+E84+F84,$D$9))))</f>
        <v/>
      </c>
      <c r="H84" s="423" t="str">
        <f t="shared" si="36"/>
        <v/>
      </c>
      <c r="I84" s="555"/>
      <c r="J84" s="476" t="str">
        <f t="shared" si="45"/>
        <v/>
      </c>
      <c r="K84" s="477" t="str">
        <f>IF(ISNUMBER(MATCH(J84,NDAWN!$A$6:$A$237,0))=TRUE,(VLOOKUP(J84,NDAWN!$A$6:$K$237,9,FALSE)),(""))</f>
        <v/>
      </c>
      <c r="L84" s="477" t="str">
        <f>IF(ISNUMBER(MATCH(J84,NDAWN!$A$6:$A$237,0))=TRUE,(VLOOKUP(J84,NDAWN!$A$6:$K$237,11,FALSE)),(""))</f>
        <v/>
      </c>
      <c r="M84" s="484">
        <f>IFERROR(VLOOKUP(J84,'Net Irrigation Calculator'!$A$10:$G$26,7,FALSE),(0))</f>
        <v>0</v>
      </c>
      <c r="N84" s="485" t="str">
        <f>IF(ISNUMBER(MATCH(J84,'Moisture Sensors (tensiometer)'!$AF$9:$AF$19,0))=TRUE,(VLOOKUP(J84,'Moisture Sensors (tensiometer)'!$AF$9:$AG$19,2)),(IF(K84="","",IF($D$9&gt;=N83,+N83-K84+L84+M84,$D$9))))</f>
        <v/>
      </c>
      <c r="O84" s="424" t="str">
        <f t="shared" si="37"/>
        <v/>
      </c>
      <c r="Q84" s="54"/>
      <c r="R84" s="552"/>
      <c r="S84" s="499" t="str">
        <f t="shared" si="46"/>
        <v/>
      </c>
      <c r="T84" s="500" t="str">
        <f t="shared" si="38"/>
        <v/>
      </c>
      <c r="U84" s="501" t="str">
        <f t="shared" si="39"/>
        <v/>
      </c>
      <c r="V84" s="502"/>
      <c r="W84" s="527" t="str">
        <f t="shared" si="48"/>
        <v/>
      </c>
      <c r="X84" s="425" t="str">
        <f t="shared" si="40"/>
        <v/>
      </c>
      <c r="Y84" s="552"/>
      <c r="Z84" s="499" t="str">
        <f t="shared" si="47"/>
        <v/>
      </c>
      <c r="AA84" s="500" t="str">
        <f t="shared" si="41"/>
        <v/>
      </c>
      <c r="AB84" s="501" t="str">
        <f t="shared" si="42"/>
        <v/>
      </c>
      <c r="AC84" s="507"/>
      <c r="AD84" s="523" t="str">
        <f t="shared" si="49"/>
        <v/>
      </c>
      <c r="AE84" s="425" t="str">
        <f t="shared" si="43"/>
        <v/>
      </c>
      <c r="AL84" s="426">
        <f t="shared" si="34"/>
        <v>0</v>
      </c>
      <c r="AM84" s="426">
        <f t="shared" si="34"/>
        <v>0</v>
      </c>
      <c r="AN84" s="426" t="e">
        <f t="shared" si="35"/>
        <v>#VALUE!</v>
      </c>
      <c r="AO84" s="426" t="e">
        <f t="shared" si="35"/>
        <v>#VALUE!</v>
      </c>
      <c r="AP84" s="427" t="e">
        <f t="shared" si="51"/>
        <v>#VALUE!</v>
      </c>
      <c r="AQ84" s="162">
        <f t="shared" si="50"/>
        <v>70</v>
      </c>
    </row>
    <row r="85" spans="1:43" ht="13.5" customHeight="1" x14ac:dyDescent="0.2">
      <c r="A85" s="105"/>
      <c r="B85" s="553" t="str">
        <f>IF($D$5="","",HLOOKUP('IWM Evaluation'!$D$5,'General Information'!$O$2:$V$26,12,FALSE))</f>
        <v>Week 11</v>
      </c>
      <c r="C85" s="480" t="str">
        <f t="shared" si="44"/>
        <v/>
      </c>
      <c r="D85" s="471" t="str">
        <f>IF(ISNUMBER(MATCH(C85,NDAWN!$A$6:$A$237,0))=TRUE,(VLOOKUP(C85,NDAWN!$A$6:$K$237,9,FALSE)),(""))</f>
        <v/>
      </c>
      <c r="E85" s="471" t="str">
        <f>IF(ISNUMBER(MATCH(C85,NDAWN!$A$6:$A$237,0))=TRUE,(VLOOKUP(C85,NDAWN!$A$6:$K$237,11,FALSE)),(""))</f>
        <v/>
      </c>
      <c r="F85" s="472">
        <f>IFERROR(VLOOKUP(C85,'Net Irrigation Calculator'!$A$10:$G$26,7,FALSE),(0))</f>
        <v>0</v>
      </c>
      <c r="G85" s="473" t="str">
        <f>IF(ISNUMBER(MATCH(C85,'Moisture Sensors (tensiometer)'!$AF$9:$AF$19,0))=TRUE,(VLOOKUP(C85,'Moisture Sensors (tensiometer)'!$AF$9:$AG$19,2)),(IF(D85="","",IF($D$9&gt;=G84,+G84-D85+E85+F85,$D$9))))</f>
        <v/>
      </c>
      <c r="H85" s="423" t="str">
        <f t="shared" si="36"/>
        <v/>
      </c>
      <c r="I85" s="553" t="str">
        <f>IF($D$5="","",HLOOKUP('IWM Evaluation'!$D$5,'General Information'!$O$2:$V$26,24,FALSE))</f>
        <v>Week 23</v>
      </c>
      <c r="J85" s="480" t="str">
        <f t="shared" si="45"/>
        <v/>
      </c>
      <c r="K85" s="471" t="str">
        <f>IF(ISNUMBER(MATCH(J85,NDAWN!$A$6:$A$237,0))=TRUE,(VLOOKUP(J85,NDAWN!$A$6:$K$237,9,FALSE)),(""))</f>
        <v/>
      </c>
      <c r="L85" s="471" t="str">
        <f>IF(ISNUMBER(MATCH(J85,NDAWN!$A$6:$A$237,0))=TRUE,(VLOOKUP(J85,NDAWN!$A$6:$K$237,11,FALSE)),(""))</f>
        <v/>
      </c>
      <c r="M85" s="481">
        <f>IFERROR(VLOOKUP(J85,'Net Irrigation Calculator'!$A$10:$G$26,7,FALSE),(0))</f>
        <v>0</v>
      </c>
      <c r="N85" s="482" t="str">
        <f>IF(ISNUMBER(MATCH(J85,'Moisture Sensors (tensiometer)'!$AF$9:$AF$19,0))=TRUE,(VLOOKUP(J85,'Moisture Sensors (tensiometer)'!$AF$9:$AG$19,2)),(IF(K85="","",IF($D$9&gt;=N84,+N84-K85+L85+M85,$D$9))))</f>
        <v/>
      </c>
      <c r="O85" s="424" t="str">
        <f t="shared" si="37"/>
        <v/>
      </c>
      <c r="Q85" s="54"/>
      <c r="R85" s="550" t="str">
        <f>IF($D$5="","",HLOOKUP('IWM Evaluation'!$D$5,'General Information'!$O$2:$V$26,12,FALSE))</f>
        <v>Week 11</v>
      </c>
      <c r="S85" s="503" t="str">
        <f t="shared" si="46"/>
        <v/>
      </c>
      <c r="T85" s="493" t="str">
        <f t="shared" si="38"/>
        <v/>
      </c>
      <c r="U85" s="494" t="str">
        <f t="shared" si="39"/>
        <v/>
      </c>
      <c r="V85" s="495"/>
      <c r="W85" s="525" t="str">
        <f t="shared" si="48"/>
        <v/>
      </c>
      <c r="X85" s="425" t="str">
        <f t="shared" si="40"/>
        <v/>
      </c>
      <c r="Y85" s="550" t="str">
        <f>IF($D$5="","",HLOOKUP('IWM Evaluation'!$D$5,'General Information'!$O$2:$V$26,24,FALSE))</f>
        <v>Week 23</v>
      </c>
      <c r="Z85" s="503" t="str">
        <f t="shared" si="47"/>
        <v/>
      </c>
      <c r="AA85" s="493" t="str">
        <f t="shared" si="41"/>
        <v/>
      </c>
      <c r="AB85" s="494" t="str">
        <f t="shared" si="42"/>
        <v/>
      </c>
      <c r="AC85" s="506"/>
      <c r="AD85" s="521" t="str">
        <f t="shared" si="49"/>
        <v/>
      </c>
      <c r="AE85" s="425" t="str">
        <f t="shared" si="43"/>
        <v/>
      </c>
      <c r="AL85" s="426">
        <f t="shared" si="34"/>
        <v>0</v>
      </c>
      <c r="AM85" s="426">
        <f t="shared" si="34"/>
        <v>0</v>
      </c>
      <c r="AN85" s="426" t="e">
        <f t="shared" si="35"/>
        <v>#VALUE!</v>
      </c>
      <c r="AO85" s="426" t="e">
        <f t="shared" si="35"/>
        <v>#VALUE!</v>
      </c>
      <c r="AP85" s="427" t="e">
        <f t="shared" si="51"/>
        <v>#VALUE!</v>
      </c>
      <c r="AQ85" s="162">
        <f t="shared" si="50"/>
        <v>71</v>
      </c>
    </row>
    <row r="86" spans="1:43" x14ac:dyDescent="0.2">
      <c r="A86" s="105"/>
      <c r="B86" s="554"/>
      <c r="C86" s="474" t="str">
        <f t="shared" si="44"/>
        <v/>
      </c>
      <c r="D86" s="282" t="str">
        <f>IF(ISNUMBER(MATCH(C86,NDAWN!$A$6:$A$237,0))=TRUE,(VLOOKUP(C86,NDAWN!$A$6:$K$237,9,FALSE)),(""))</f>
        <v/>
      </c>
      <c r="E86" s="282" t="str">
        <f>IF(ISNUMBER(MATCH(C86,NDAWN!$A$6:$A$237,0))=TRUE,(VLOOKUP(C86,NDAWN!$A$6:$K$237,11,FALSE)),(""))</f>
        <v/>
      </c>
      <c r="F86" s="116">
        <f>IFERROR(VLOOKUP(C86,'Net Irrigation Calculator'!$A$10:$G$26,7,FALSE),(0))</f>
        <v>0</v>
      </c>
      <c r="G86" s="475" t="str">
        <f>IF(ISNUMBER(MATCH(C86,'Moisture Sensors (tensiometer)'!$AF$9:$AF$19,0))=TRUE,(VLOOKUP(C86,'Moisture Sensors (tensiometer)'!$AF$9:$AG$19,2)),(IF(D86="","",IF($D$9&gt;=G85,+G85-D86+E86+F86,$D$9))))</f>
        <v/>
      </c>
      <c r="H86" s="423" t="str">
        <f t="shared" si="36"/>
        <v/>
      </c>
      <c r="I86" s="554"/>
      <c r="J86" s="474" t="str">
        <f t="shared" si="45"/>
        <v/>
      </c>
      <c r="K86" s="282" t="str">
        <f>IF(ISNUMBER(MATCH(J86,NDAWN!$A$6:$A$237,0))=TRUE,(VLOOKUP(J86,NDAWN!$A$6:$K$237,9,FALSE)),(""))</f>
        <v/>
      </c>
      <c r="L86" s="282" t="str">
        <f>IF(ISNUMBER(MATCH(J86,NDAWN!$A$6:$A$237,0))=TRUE,(VLOOKUP(J86,NDAWN!$A$6:$K$237,11,FALSE)),(""))</f>
        <v/>
      </c>
      <c r="M86" s="143">
        <f>IFERROR(VLOOKUP(J86,'Net Irrigation Calculator'!$A$10:$G$26,7,FALSE),(0))</f>
        <v>0</v>
      </c>
      <c r="N86" s="483" t="str">
        <f>IF(ISNUMBER(MATCH(J86,'Moisture Sensors (tensiometer)'!$AF$9:$AF$19,0))=TRUE,(VLOOKUP(J86,'Moisture Sensors (tensiometer)'!$AF$9:$AG$19,2)),(IF(K86="","",IF($D$9&gt;=N85,+N85-K86+L86+M86,$D$9))))</f>
        <v/>
      </c>
      <c r="O86" s="424" t="str">
        <f t="shared" si="37"/>
        <v/>
      </c>
      <c r="Q86" s="54"/>
      <c r="R86" s="551"/>
      <c r="S86" s="496" t="str">
        <f t="shared" si="46"/>
        <v/>
      </c>
      <c r="T86" s="497" t="str">
        <f t="shared" si="38"/>
        <v/>
      </c>
      <c r="U86" s="498" t="str">
        <f t="shared" si="39"/>
        <v/>
      </c>
      <c r="V86" s="117"/>
      <c r="W86" s="526" t="str">
        <f t="shared" si="48"/>
        <v/>
      </c>
      <c r="X86" s="425" t="str">
        <f t="shared" si="40"/>
        <v/>
      </c>
      <c r="Y86" s="551"/>
      <c r="Z86" s="496" t="str">
        <f t="shared" si="47"/>
        <v/>
      </c>
      <c r="AA86" s="497" t="str">
        <f t="shared" si="41"/>
        <v/>
      </c>
      <c r="AB86" s="498" t="str">
        <f t="shared" si="42"/>
        <v/>
      </c>
      <c r="AC86" s="118"/>
      <c r="AD86" s="522" t="str">
        <f t="shared" si="49"/>
        <v/>
      </c>
      <c r="AE86" s="425" t="str">
        <f t="shared" si="43"/>
        <v/>
      </c>
      <c r="AL86" s="426">
        <f t="shared" si="34"/>
        <v>0</v>
      </c>
      <c r="AM86" s="426">
        <f t="shared" si="34"/>
        <v>0</v>
      </c>
      <c r="AN86" s="426" t="e">
        <f t="shared" si="35"/>
        <v>#VALUE!</v>
      </c>
      <c r="AO86" s="426" t="e">
        <f t="shared" si="35"/>
        <v>#VALUE!</v>
      </c>
      <c r="AP86" s="427" t="e">
        <f t="shared" si="51"/>
        <v>#VALUE!</v>
      </c>
      <c r="AQ86" s="162">
        <f t="shared" si="50"/>
        <v>72</v>
      </c>
    </row>
    <row r="87" spans="1:43" x14ac:dyDescent="0.2">
      <c r="A87" s="105"/>
      <c r="B87" s="554"/>
      <c r="C87" s="474" t="str">
        <f t="shared" si="44"/>
        <v/>
      </c>
      <c r="D87" s="282" t="str">
        <f>IF(ISNUMBER(MATCH(C87,NDAWN!$A$6:$A$237,0))=TRUE,(VLOOKUP(C87,NDAWN!$A$6:$K$237,9,FALSE)),(""))</f>
        <v/>
      </c>
      <c r="E87" s="282" t="str">
        <f>IF(ISNUMBER(MATCH(C87,NDAWN!$A$6:$A$237,0))=TRUE,(VLOOKUP(C87,NDAWN!$A$6:$K$237,11,FALSE)),(""))</f>
        <v/>
      </c>
      <c r="F87" s="116">
        <f>IFERROR(VLOOKUP(C87,'Net Irrigation Calculator'!$A$10:$G$26,7,FALSE),(0))</f>
        <v>0</v>
      </c>
      <c r="G87" s="475" t="str">
        <f>IF(ISNUMBER(MATCH(C87,'Moisture Sensors (tensiometer)'!$AF$9:$AF$19,0))=TRUE,(VLOOKUP(C87,'Moisture Sensors (tensiometer)'!$AF$9:$AG$19,2)),(IF(D87="","",IF($D$9&gt;=G86,+G86-D87+E87+F87,$D$9))))</f>
        <v/>
      </c>
      <c r="H87" s="423" t="str">
        <f t="shared" si="36"/>
        <v/>
      </c>
      <c r="I87" s="554"/>
      <c r="J87" s="474" t="str">
        <f t="shared" si="45"/>
        <v/>
      </c>
      <c r="K87" s="282" t="str">
        <f>IF(ISNUMBER(MATCH(J87,NDAWN!$A$6:$A$237,0))=TRUE,(VLOOKUP(J87,NDAWN!$A$6:$K$237,9,FALSE)),(""))</f>
        <v/>
      </c>
      <c r="L87" s="282" t="str">
        <f>IF(ISNUMBER(MATCH(J87,NDAWN!$A$6:$A$237,0))=TRUE,(VLOOKUP(J87,NDAWN!$A$6:$K$237,11,FALSE)),(""))</f>
        <v/>
      </c>
      <c r="M87" s="143">
        <f>IFERROR(VLOOKUP(J87,'Net Irrigation Calculator'!$A$10:$G$26,7,FALSE),(0))</f>
        <v>0</v>
      </c>
      <c r="N87" s="483" t="str">
        <f>IF(ISNUMBER(MATCH(J87,'Moisture Sensors (tensiometer)'!$AF$9:$AF$19,0))=TRUE,(VLOOKUP(J87,'Moisture Sensors (tensiometer)'!$AF$9:$AG$19,2)),(IF(K87="","",IF($D$9&gt;=N86,+N86-K87+L87+M87,$D$9))))</f>
        <v/>
      </c>
      <c r="O87" s="424" t="str">
        <f t="shared" si="37"/>
        <v/>
      </c>
      <c r="Q87" s="54"/>
      <c r="R87" s="551"/>
      <c r="S87" s="496" t="str">
        <f t="shared" si="46"/>
        <v/>
      </c>
      <c r="T87" s="497" t="str">
        <f t="shared" si="38"/>
        <v/>
      </c>
      <c r="U87" s="498" t="str">
        <f t="shared" si="39"/>
        <v/>
      </c>
      <c r="V87" s="117"/>
      <c r="W87" s="526" t="str">
        <f t="shared" si="48"/>
        <v/>
      </c>
      <c r="X87" s="425" t="str">
        <f t="shared" si="40"/>
        <v/>
      </c>
      <c r="Y87" s="551"/>
      <c r="Z87" s="496" t="str">
        <f t="shared" si="47"/>
        <v/>
      </c>
      <c r="AA87" s="497" t="str">
        <f t="shared" si="41"/>
        <v/>
      </c>
      <c r="AB87" s="498" t="str">
        <f t="shared" si="42"/>
        <v/>
      </c>
      <c r="AC87" s="118"/>
      <c r="AD87" s="522" t="str">
        <f t="shared" si="49"/>
        <v/>
      </c>
      <c r="AE87" s="425" t="str">
        <f t="shared" si="43"/>
        <v/>
      </c>
      <c r="AL87" s="426">
        <f t="shared" si="34"/>
        <v>0</v>
      </c>
      <c r="AM87" s="426">
        <f t="shared" si="34"/>
        <v>0</v>
      </c>
      <c r="AN87" s="426" t="e">
        <f t="shared" si="35"/>
        <v>#VALUE!</v>
      </c>
      <c r="AO87" s="426" t="e">
        <f t="shared" si="35"/>
        <v>#VALUE!</v>
      </c>
      <c r="AP87" s="427" t="e">
        <f t="shared" si="51"/>
        <v>#VALUE!</v>
      </c>
      <c r="AQ87" s="162">
        <f t="shared" si="50"/>
        <v>73</v>
      </c>
    </row>
    <row r="88" spans="1:43" x14ac:dyDescent="0.2">
      <c r="A88" s="105"/>
      <c r="B88" s="554"/>
      <c r="C88" s="474" t="str">
        <f t="shared" si="44"/>
        <v/>
      </c>
      <c r="D88" s="282" t="str">
        <f>IF(ISNUMBER(MATCH(C88,NDAWN!$A$6:$A$237,0))=TRUE,(VLOOKUP(C88,NDAWN!$A$6:$K$237,9,FALSE)),(""))</f>
        <v/>
      </c>
      <c r="E88" s="282" t="str">
        <f>IF(ISNUMBER(MATCH(C88,NDAWN!$A$6:$A$237,0))=TRUE,(VLOOKUP(C88,NDAWN!$A$6:$K$237,11,FALSE)),(""))</f>
        <v/>
      </c>
      <c r="F88" s="116">
        <f>IFERROR(VLOOKUP(C88,'Net Irrigation Calculator'!$A$10:$G$26,7,FALSE),(0))</f>
        <v>0</v>
      </c>
      <c r="G88" s="475" t="str">
        <f>IF(ISNUMBER(MATCH(C88,'Moisture Sensors (tensiometer)'!$AF$9:$AF$19,0))=TRUE,(VLOOKUP(C88,'Moisture Sensors (tensiometer)'!$AF$9:$AG$19,2)),(IF(D88="","",IF($D$9&gt;=G87,+G87-D88+E88+F88,$D$9))))</f>
        <v/>
      </c>
      <c r="H88" s="423" t="str">
        <f t="shared" si="36"/>
        <v/>
      </c>
      <c r="I88" s="554"/>
      <c r="J88" s="474" t="str">
        <f t="shared" si="45"/>
        <v/>
      </c>
      <c r="K88" s="282" t="str">
        <f>IF(ISNUMBER(MATCH(J88,NDAWN!$A$6:$A$237,0))=TRUE,(VLOOKUP(J88,NDAWN!$A$6:$K$237,9,FALSE)),(""))</f>
        <v/>
      </c>
      <c r="L88" s="282" t="str">
        <f>IF(ISNUMBER(MATCH(J88,NDAWN!$A$6:$A$237,0))=TRUE,(VLOOKUP(J88,NDAWN!$A$6:$K$237,11,FALSE)),(""))</f>
        <v/>
      </c>
      <c r="M88" s="143">
        <f>IFERROR(VLOOKUP(J88,'Net Irrigation Calculator'!$A$10:$G$26,7,FALSE),(0))</f>
        <v>0</v>
      </c>
      <c r="N88" s="483" t="str">
        <f>IF(ISNUMBER(MATCH(J88,'Moisture Sensors (tensiometer)'!$AF$9:$AF$19,0))=TRUE,(VLOOKUP(J88,'Moisture Sensors (tensiometer)'!$AF$9:$AG$19,2)),(IF(K88="","",IF($D$9&gt;=N87,+N87-K88+L88+M88,$D$9))))</f>
        <v/>
      </c>
      <c r="O88" s="424" t="str">
        <f t="shared" si="37"/>
        <v/>
      </c>
      <c r="Q88" s="54"/>
      <c r="R88" s="551"/>
      <c r="S88" s="496" t="str">
        <f t="shared" si="46"/>
        <v/>
      </c>
      <c r="T88" s="497" t="str">
        <f t="shared" si="38"/>
        <v/>
      </c>
      <c r="U88" s="498" t="str">
        <f t="shared" si="39"/>
        <v/>
      </c>
      <c r="V88" s="117"/>
      <c r="W88" s="522" t="str">
        <f t="shared" si="48"/>
        <v/>
      </c>
      <c r="X88" s="425" t="str">
        <f t="shared" si="40"/>
        <v/>
      </c>
      <c r="Y88" s="551"/>
      <c r="Z88" s="496" t="str">
        <f t="shared" si="47"/>
        <v/>
      </c>
      <c r="AA88" s="497" t="str">
        <f t="shared" si="41"/>
        <v/>
      </c>
      <c r="AB88" s="498" t="str">
        <f t="shared" si="42"/>
        <v/>
      </c>
      <c r="AC88" s="118"/>
      <c r="AD88" s="522" t="str">
        <f t="shared" si="49"/>
        <v/>
      </c>
      <c r="AE88" s="425" t="str">
        <f t="shared" si="43"/>
        <v/>
      </c>
      <c r="AL88" s="426">
        <f t="shared" si="34"/>
        <v>0</v>
      </c>
      <c r="AM88" s="426">
        <f t="shared" si="34"/>
        <v>0</v>
      </c>
      <c r="AN88" s="426" t="e">
        <f t="shared" si="35"/>
        <v>#VALUE!</v>
      </c>
      <c r="AO88" s="426" t="e">
        <f t="shared" si="35"/>
        <v>#VALUE!</v>
      </c>
      <c r="AP88" s="427" t="e">
        <f t="shared" si="51"/>
        <v>#VALUE!</v>
      </c>
      <c r="AQ88" s="162">
        <f t="shared" si="50"/>
        <v>74</v>
      </c>
    </row>
    <row r="89" spans="1:43" x14ac:dyDescent="0.2">
      <c r="A89" s="105"/>
      <c r="B89" s="554"/>
      <c r="C89" s="474" t="str">
        <f t="shared" si="44"/>
        <v/>
      </c>
      <c r="D89" s="282" t="str">
        <f>IF(ISNUMBER(MATCH(C89,NDAWN!$A$6:$A$237,0))=TRUE,(VLOOKUP(C89,NDAWN!$A$6:$K$237,9,FALSE)),(""))</f>
        <v/>
      </c>
      <c r="E89" s="282" t="str">
        <f>IF(ISNUMBER(MATCH(C89,NDAWN!$A$6:$A$237,0))=TRUE,(VLOOKUP(C89,NDAWN!$A$6:$K$237,11,FALSE)),(""))</f>
        <v/>
      </c>
      <c r="F89" s="116">
        <f>IFERROR(VLOOKUP(C89,'Net Irrigation Calculator'!$A$10:$G$26,7,FALSE),(0))</f>
        <v>0</v>
      </c>
      <c r="G89" s="475" t="str">
        <f>IF(ISNUMBER(MATCH(C89,'Moisture Sensors (tensiometer)'!$AF$9:$AF$19,0))=TRUE,(VLOOKUP(C89,'Moisture Sensors (tensiometer)'!$AF$9:$AG$19,2)),(IF(D89="","",IF($D$9&gt;=G88,+G88-D89+E89+F89,$D$9))))</f>
        <v/>
      </c>
      <c r="H89" s="423" t="str">
        <f t="shared" si="36"/>
        <v/>
      </c>
      <c r="I89" s="554"/>
      <c r="J89" s="474" t="str">
        <f t="shared" si="45"/>
        <v/>
      </c>
      <c r="K89" s="282" t="str">
        <f>IF(ISNUMBER(MATCH(J89,NDAWN!$A$6:$A$237,0))=TRUE,(VLOOKUP(J89,NDAWN!$A$6:$K$237,9,FALSE)),(""))</f>
        <v/>
      </c>
      <c r="L89" s="282" t="str">
        <f>IF(ISNUMBER(MATCH(J89,NDAWN!$A$6:$A$237,0))=TRUE,(VLOOKUP(J89,NDAWN!$A$6:$K$237,11,FALSE)),(""))</f>
        <v/>
      </c>
      <c r="M89" s="143">
        <f>IFERROR(VLOOKUP(J89,'Net Irrigation Calculator'!$A$10:$G$26,7,FALSE),(0))</f>
        <v>0</v>
      </c>
      <c r="N89" s="483" t="str">
        <f>IF(ISNUMBER(MATCH(J89,'Moisture Sensors (tensiometer)'!$AF$9:$AF$19,0))=TRUE,(VLOOKUP(J89,'Moisture Sensors (tensiometer)'!$AF$9:$AG$19,2)),(IF(K89="","",IF($D$9&gt;=N88,+N88-K89+L89+M89,$D$9))))</f>
        <v/>
      </c>
      <c r="O89" s="424" t="str">
        <f t="shared" si="37"/>
        <v/>
      </c>
      <c r="Q89" s="54"/>
      <c r="R89" s="551"/>
      <c r="S89" s="496" t="str">
        <f t="shared" si="46"/>
        <v/>
      </c>
      <c r="T89" s="497" t="str">
        <f t="shared" si="38"/>
        <v/>
      </c>
      <c r="U89" s="498" t="str">
        <f t="shared" si="39"/>
        <v/>
      </c>
      <c r="V89" s="117"/>
      <c r="W89" s="526" t="str">
        <f t="shared" si="48"/>
        <v/>
      </c>
      <c r="X89" s="425" t="str">
        <f t="shared" si="40"/>
        <v/>
      </c>
      <c r="Y89" s="551"/>
      <c r="Z89" s="496" t="str">
        <f t="shared" si="47"/>
        <v/>
      </c>
      <c r="AA89" s="497" t="str">
        <f t="shared" si="41"/>
        <v/>
      </c>
      <c r="AB89" s="498" t="str">
        <f t="shared" si="42"/>
        <v/>
      </c>
      <c r="AC89" s="118"/>
      <c r="AD89" s="522" t="str">
        <f t="shared" si="49"/>
        <v/>
      </c>
      <c r="AE89" s="425" t="str">
        <f t="shared" si="43"/>
        <v/>
      </c>
      <c r="AL89" s="426">
        <f t="shared" si="34"/>
        <v>0</v>
      </c>
      <c r="AM89" s="426">
        <f t="shared" si="34"/>
        <v>0</v>
      </c>
      <c r="AN89" s="426" t="e">
        <f t="shared" si="35"/>
        <v>#VALUE!</v>
      </c>
      <c r="AO89" s="426" t="e">
        <f t="shared" si="35"/>
        <v>#VALUE!</v>
      </c>
      <c r="AP89" s="427" t="e">
        <f t="shared" si="51"/>
        <v>#VALUE!</v>
      </c>
      <c r="AQ89" s="162">
        <f t="shared" si="50"/>
        <v>75</v>
      </c>
    </row>
    <row r="90" spans="1:43" x14ac:dyDescent="0.2">
      <c r="A90" s="95"/>
      <c r="B90" s="554"/>
      <c r="C90" s="474" t="str">
        <f t="shared" si="44"/>
        <v/>
      </c>
      <c r="D90" s="282" t="str">
        <f>IF(ISNUMBER(MATCH(C90,NDAWN!$A$6:$A$237,0))=TRUE,(VLOOKUP(C90,NDAWN!$A$6:$K$237,9,FALSE)),(""))</f>
        <v/>
      </c>
      <c r="E90" s="282" t="str">
        <f>IF(ISNUMBER(MATCH(C90,NDAWN!$A$6:$A$237,0))=TRUE,(VLOOKUP(C90,NDAWN!$A$6:$K$237,11,FALSE)),(""))</f>
        <v/>
      </c>
      <c r="F90" s="116">
        <f>IFERROR(VLOOKUP(C90,'Net Irrigation Calculator'!$A$10:$G$26,7,FALSE),(0))</f>
        <v>0</v>
      </c>
      <c r="G90" s="475" t="str">
        <f>IF(ISNUMBER(MATCH(C90,'Moisture Sensors (tensiometer)'!$AF$9:$AF$19,0))=TRUE,(VLOOKUP(C90,'Moisture Sensors (tensiometer)'!$AF$9:$AG$19,2)),(IF(D90="","",IF($D$9&gt;=G89,+G89-D90+E90+F90,$D$9))))</f>
        <v/>
      </c>
      <c r="H90" s="423" t="str">
        <f t="shared" si="36"/>
        <v/>
      </c>
      <c r="I90" s="554"/>
      <c r="J90" s="474" t="str">
        <f t="shared" si="45"/>
        <v/>
      </c>
      <c r="K90" s="282" t="str">
        <f>IF(ISNUMBER(MATCH(J90,NDAWN!$A$6:$A$237,0))=TRUE,(VLOOKUP(J90,NDAWN!$A$6:$K$237,9,FALSE)),(""))</f>
        <v/>
      </c>
      <c r="L90" s="282" t="str">
        <f>IF(ISNUMBER(MATCH(J90,NDAWN!$A$6:$A$237,0))=TRUE,(VLOOKUP(J90,NDAWN!$A$6:$K$237,11,FALSE)),(""))</f>
        <v/>
      </c>
      <c r="M90" s="143">
        <f>IFERROR(VLOOKUP(J90,'Net Irrigation Calculator'!$A$10:$G$26,7,FALSE),(0))</f>
        <v>0</v>
      </c>
      <c r="N90" s="483" t="str">
        <f>IF(ISNUMBER(MATCH(J90,'Moisture Sensors (tensiometer)'!$AF$9:$AF$19,0))=TRUE,(VLOOKUP(J90,'Moisture Sensors (tensiometer)'!$AF$9:$AG$19,2)),(IF(K90="","",IF($D$9&gt;=N89,+N89-K90+L90+M90,$D$9))))</f>
        <v/>
      </c>
      <c r="O90" s="424" t="str">
        <f t="shared" si="37"/>
        <v/>
      </c>
      <c r="Q90" s="54"/>
      <c r="R90" s="551"/>
      <c r="S90" s="496" t="str">
        <f t="shared" si="46"/>
        <v/>
      </c>
      <c r="T90" s="497" t="str">
        <f t="shared" si="38"/>
        <v/>
      </c>
      <c r="U90" s="498" t="str">
        <f t="shared" si="39"/>
        <v/>
      </c>
      <c r="V90" s="117"/>
      <c r="W90" s="526" t="str">
        <f t="shared" si="48"/>
        <v/>
      </c>
      <c r="X90" s="425" t="str">
        <f t="shared" si="40"/>
        <v/>
      </c>
      <c r="Y90" s="551"/>
      <c r="Z90" s="496" t="str">
        <f t="shared" si="47"/>
        <v/>
      </c>
      <c r="AA90" s="497" t="str">
        <f t="shared" si="41"/>
        <v/>
      </c>
      <c r="AB90" s="498" t="str">
        <f t="shared" si="42"/>
        <v/>
      </c>
      <c r="AC90" s="118"/>
      <c r="AD90" s="522" t="str">
        <f t="shared" si="49"/>
        <v/>
      </c>
      <c r="AE90" s="425" t="str">
        <f t="shared" si="43"/>
        <v/>
      </c>
      <c r="AL90" s="426">
        <f t="shared" si="34"/>
        <v>0</v>
      </c>
      <c r="AM90" s="426">
        <f t="shared" si="34"/>
        <v>0</v>
      </c>
      <c r="AN90" s="426" t="e">
        <f t="shared" si="35"/>
        <v>#VALUE!</v>
      </c>
      <c r="AO90" s="426" t="e">
        <f t="shared" si="35"/>
        <v>#VALUE!</v>
      </c>
      <c r="AP90" s="427" t="e">
        <f t="shared" si="51"/>
        <v>#VALUE!</v>
      </c>
      <c r="AQ90" s="162">
        <f t="shared" si="50"/>
        <v>76</v>
      </c>
    </row>
    <row r="91" spans="1:43" ht="13.5" thickBot="1" x14ac:dyDescent="0.25">
      <c r="A91" s="95"/>
      <c r="B91" s="555"/>
      <c r="C91" s="476" t="str">
        <f t="shared" si="44"/>
        <v/>
      </c>
      <c r="D91" s="477" t="str">
        <f>IF(ISNUMBER(MATCH(C91,NDAWN!$A$6:$A$237,0))=TRUE,(VLOOKUP(C91,NDAWN!$A$6:$K$237,9,FALSE)),(""))</f>
        <v/>
      </c>
      <c r="E91" s="477" t="str">
        <f>IF(ISNUMBER(MATCH(C91,NDAWN!$A$6:$A$237,0))=TRUE,(VLOOKUP(C91,NDAWN!$A$6:$K$237,11,FALSE)),(""))</f>
        <v/>
      </c>
      <c r="F91" s="478">
        <f>IFERROR(VLOOKUP(C91,'Net Irrigation Calculator'!$A$10:$G$26,7,FALSE),(0))</f>
        <v>0</v>
      </c>
      <c r="G91" s="524" t="str">
        <f>IF(ISNUMBER(MATCH(C91,'Moisture Sensors (tensiometer)'!$AF$9:$AF$19,0))=TRUE,(VLOOKUP(C91,'Moisture Sensors (tensiometer)'!$AF$9:$AG$19,2)),(IF(D91="","",IF($D$9&gt;=G90,+G90-D91+E91+F91,$D$9))))</f>
        <v/>
      </c>
      <c r="H91" s="423" t="str">
        <f t="shared" si="36"/>
        <v/>
      </c>
      <c r="I91" s="555"/>
      <c r="J91" s="476" t="str">
        <f t="shared" si="45"/>
        <v/>
      </c>
      <c r="K91" s="477" t="str">
        <f>IF(ISNUMBER(MATCH(J91,NDAWN!$A$6:$A$237,0))=TRUE,(VLOOKUP(J91,NDAWN!$A$6:$K$237,9,FALSE)),(""))</f>
        <v/>
      </c>
      <c r="L91" s="477" t="str">
        <f>IF(ISNUMBER(MATCH(J91,NDAWN!$A$6:$A$237,0))=TRUE,(VLOOKUP(J91,NDAWN!$A$6:$K$237,11,FALSE)),(""))</f>
        <v/>
      </c>
      <c r="M91" s="484">
        <f>IFERROR(VLOOKUP(J91,'Net Irrigation Calculator'!$A$10:$G$26,7,FALSE),(0))</f>
        <v>0</v>
      </c>
      <c r="N91" s="485" t="str">
        <f>IF(ISNUMBER(MATCH(J91,'Moisture Sensors (tensiometer)'!$AF$9:$AF$19,0))=TRUE,(VLOOKUP(J91,'Moisture Sensors (tensiometer)'!$AF$9:$AG$19,2)),(IF(K91="","",IF($D$9&gt;=N90,+N90-K91+L91+M91,$D$9))))</f>
        <v/>
      </c>
      <c r="O91" s="424" t="str">
        <f t="shared" si="37"/>
        <v/>
      </c>
      <c r="Q91" s="54"/>
      <c r="R91" s="552"/>
      <c r="S91" s="499" t="str">
        <f t="shared" si="46"/>
        <v/>
      </c>
      <c r="T91" s="500" t="str">
        <f t="shared" si="38"/>
        <v/>
      </c>
      <c r="U91" s="501" t="str">
        <f t="shared" si="39"/>
        <v/>
      </c>
      <c r="V91" s="502"/>
      <c r="W91" s="527" t="str">
        <f t="shared" si="48"/>
        <v/>
      </c>
      <c r="X91" s="425" t="str">
        <f t="shared" si="40"/>
        <v/>
      </c>
      <c r="Y91" s="552"/>
      <c r="Z91" s="499" t="str">
        <f t="shared" si="47"/>
        <v/>
      </c>
      <c r="AA91" s="500" t="str">
        <f t="shared" si="41"/>
        <v/>
      </c>
      <c r="AB91" s="501" t="str">
        <f t="shared" si="42"/>
        <v/>
      </c>
      <c r="AC91" s="507"/>
      <c r="AD91" s="523" t="str">
        <f t="shared" si="49"/>
        <v/>
      </c>
      <c r="AE91" s="425" t="str">
        <f t="shared" si="43"/>
        <v/>
      </c>
      <c r="AL91" s="426">
        <f t="shared" si="34"/>
        <v>0</v>
      </c>
      <c r="AM91" s="426">
        <f t="shared" si="34"/>
        <v>0</v>
      </c>
      <c r="AN91" s="426" t="e">
        <f t="shared" si="35"/>
        <v>#VALUE!</v>
      </c>
      <c r="AO91" s="426" t="e">
        <f t="shared" si="35"/>
        <v>#VALUE!</v>
      </c>
      <c r="AP91" s="427" t="e">
        <f t="shared" si="51"/>
        <v>#VALUE!</v>
      </c>
      <c r="AQ91" s="162">
        <f t="shared" si="50"/>
        <v>77</v>
      </c>
    </row>
    <row r="92" spans="1:43" ht="13.5" customHeight="1" x14ac:dyDescent="0.2">
      <c r="A92" s="95"/>
      <c r="B92" s="553" t="str">
        <f>IF($D$5="","",HLOOKUP('IWM Evaluation'!$D$5,'General Information'!$O$2:$V$26,13,FALSE))</f>
        <v>Week 12</v>
      </c>
      <c r="C92" s="480" t="str">
        <f t="shared" si="44"/>
        <v/>
      </c>
      <c r="D92" s="471" t="str">
        <f>IF(ISNUMBER(MATCH(C92,NDAWN!$A$6:$A$237,0))=TRUE,(VLOOKUP(C92,NDAWN!$A$6:$K$237,9,FALSE)),(""))</f>
        <v/>
      </c>
      <c r="E92" s="471" t="str">
        <f>IF(ISNUMBER(MATCH(C92,NDAWN!$A$6:$A$237,0))=TRUE,(VLOOKUP(C92,NDAWN!$A$6:$K$237,11,FALSE)),(""))</f>
        <v/>
      </c>
      <c r="F92" s="472">
        <f>IFERROR(VLOOKUP(C92,'Net Irrigation Calculator'!$A$10:$G$26,7,FALSE),(0))</f>
        <v>0</v>
      </c>
      <c r="G92" s="473" t="str">
        <f>IF(ISNUMBER(MATCH(C92,'Moisture Sensors (tensiometer)'!$AF$9:$AF$19,0))=TRUE,(VLOOKUP(C92,'Moisture Sensors (tensiometer)'!$AF$9:$AG$19,2)),(IF(D92="","",IF($D$9&gt;=G91,+G91-D92+E92+F92,$D$9))))</f>
        <v/>
      </c>
      <c r="H92" s="423" t="str">
        <f t="shared" si="36"/>
        <v/>
      </c>
      <c r="I92" s="553" t="str">
        <f>IF($D$5="","",HLOOKUP('IWM Evaluation'!$D$5,'General Information'!$O$2:$V$26,25,FALSE))</f>
        <v>Week 24</v>
      </c>
      <c r="J92" s="480" t="str">
        <f t="shared" si="45"/>
        <v/>
      </c>
      <c r="K92" s="471" t="str">
        <f>IF(ISNUMBER(MATCH(J92,NDAWN!$A$6:$A$237,0))=TRUE,(VLOOKUP(J92,NDAWN!$A$6:$K$237,9,FALSE)),(""))</f>
        <v/>
      </c>
      <c r="L92" s="471" t="str">
        <f>IF(ISNUMBER(MATCH(J92,NDAWN!$A$6:$A$237,0))=TRUE,(VLOOKUP(J92,NDAWN!$A$6:$K$237,11,FALSE)),(""))</f>
        <v/>
      </c>
      <c r="M92" s="481">
        <f>IFERROR(VLOOKUP(J92,'Net Irrigation Calculator'!$A$10:$G$26,7,FALSE),(0))</f>
        <v>0</v>
      </c>
      <c r="N92" s="482" t="str">
        <f>IF(ISNUMBER(MATCH(J92,'Moisture Sensors (tensiometer)'!$AF$9:$AF$19,0))=TRUE,(VLOOKUP(J92,'Moisture Sensors (tensiometer)'!$AF$9:$AG$19,2)),(IF(K92="","",IF($D$9&gt;=N91,+N91-K92+L92+M92,$D$9))))</f>
        <v/>
      </c>
      <c r="O92" s="424" t="str">
        <f t="shared" si="37"/>
        <v/>
      </c>
      <c r="R92" s="550" t="str">
        <f>IF($D$5="","",HLOOKUP('IWM Evaluation'!$D$5,'General Information'!$O$2:$V$26,13,FALSE))</f>
        <v>Week 12</v>
      </c>
      <c r="S92" s="503" t="str">
        <f t="shared" si="46"/>
        <v/>
      </c>
      <c r="T92" s="493" t="str">
        <f t="shared" si="38"/>
        <v/>
      </c>
      <c r="U92" s="494" t="str">
        <f t="shared" si="39"/>
        <v/>
      </c>
      <c r="V92" s="495"/>
      <c r="W92" s="525" t="str">
        <f t="shared" si="48"/>
        <v/>
      </c>
      <c r="X92" s="425" t="str">
        <f t="shared" si="40"/>
        <v/>
      </c>
      <c r="Y92" s="550" t="str">
        <f>IF($D$5="","",HLOOKUP('IWM Evaluation'!$D$5,'General Information'!$O$2:$V$26,25,FALSE))</f>
        <v>Week 24</v>
      </c>
      <c r="Z92" s="503" t="str">
        <f t="shared" si="47"/>
        <v/>
      </c>
      <c r="AA92" s="493" t="str">
        <f t="shared" si="41"/>
        <v/>
      </c>
      <c r="AB92" s="494" t="str">
        <f t="shared" si="42"/>
        <v/>
      </c>
      <c r="AC92" s="506"/>
      <c r="AD92" s="521" t="str">
        <f t="shared" si="49"/>
        <v/>
      </c>
      <c r="AE92" s="425" t="str">
        <f t="shared" si="43"/>
        <v/>
      </c>
      <c r="AL92" s="426">
        <f t="shared" si="34"/>
        <v>0</v>
      </c>
      <c r="AM92" s="426">
        <f t="shared" si="34"/>
        <v>0</v>
      </c>
      <c r="AN92" s="426" t="e">
        <f t="shared" si="35"/>
        <v>#VALUE!</v>
      </c>
      <c r="AO92" s="426" t="e">
        <f t="shared" si="35"/>
        <v>#VALUE!</v>
      </c>
      <c r="AP92" s="427" t="e">
        <f t="shared" si="51"/>
        <v>#VALUE!</v>
      </c>
      <c r="AQ92" s="162">
        <f t="shared" si="50"/>
        <v>78</v>
      </c>
    </row>
    <row r="93" spans="1:43" x14ac:dyDescent="0.2">
      <c r="A93" s="95"/>
      <c r="B93" s="554"/>
      <c r="C93" s="474" t="str">
        <f t="shared" si="44"/>
        <v/>
      </c>
      <c r="D93" s="282" t="str">
        <f>IF(ISNUMBER(MATCH(C93,NDAWN!$A$6:$A$237,0))=TRUE,(VLOOKUP(C93,NDAWN!$A$6:$K$237,9,FALSE)),(""))</f>
        <v/>
      </c>
      <c r="E93" s="282" t="str">
        <f>IF(ISNUMBER(MATCH(C93,NDAWN!$A$6:$A$237,0))=TRUE,(VLOOKUP(C93,NDAWN!$A$6:$K$237,11,FALSE)),(""))</f>
        <v/>
      </c>
      <c r="F93" s="116">
        <f>IFERROR(VLOOKUP(C93,'Net Irrigation Calculator'!$A$10:$G$26,7,FALSE),(0))</f>
        <v>0</v>
      </c>
      <c r="G93" s="475" t="str">
        <f>IF(ISNUMBER(MATCH(C93,'Moisture Sensors (tensiometer)'!$AF$9:$AF$19,0))=TRUE,(VLOOKUP(C93,'Moisture Sensors (tensiometer)'!$AF$9:$AG$19,2)),(IF(D93="","",IF($D$9&gt;=G92,+G92-D93+E93+F93,$D$9))))</f>
        <v/>
      </c>
      <c r="H93" s="423" t="str">
        <f t="shared" si="36"/>
        <v/>
      </c>
      <c r="I93" s="554"/>
      <c r="J93" s="474" t="str">
        <f t="shared" si="45"/>
        <v/>
      </c>
      <c r="K93" s="282" t="str">
        <f>IF(ISNUMBER(MATCH(J93,NDAWN!$A$6:$A$237,0))=TRUE,(VLOOKUP(J93,NDAWN!$A$6:$K$237,9,FALSE)),(""))</f>
        <v/>
      </c>
      <c r="L93" s="282" t="str">
        <f>IF(ISNUMBER(MATCH(J93,NDAWN!$A$6:$A$237,0))=TRUE,(VLOOKUP(J93,NDAWN!$A$6:$K$237,11,FALSE)),(""))</f>
        <v/>
      </c>
      <c r="M93" s="143">
        <f>IFERROR(VLOOKUP(J93,'Net Irrigation Calculator'!$A$10:$G$26,7,FALSE),(0))</f>
        <v>0</v>
      </c>
      <c r="N93" s="483" t="str">
        <f>IF(ISNUMBER(MATCH(J93,'Moisture Sensors (tensiometer)'!$AF$9:$AF$19,0))=TRUE,(VLOOKUP(J93,'Moisture Sensors (tensiometer)'!$AF$9:$AG$19,2)),(IF(K93="","",IF($D$9&gt;=N92,+N92-K93+L93+M93,$D$9))))</f>
        <v/>
      </c>
      <c r="O93" s="424" t="str">
        <f t="shared" si="37"/>
        <v/>
      </c>
      <c r="R93" s="551"/>
      <c r="S93" s="496" t="str">
        <f t="shared" si="46"/>
        <v/>
      </c>
      <c r="T93" s="497" t="str">
        <f t="shared" si="38"/>
        <v/>
      </c>
      <c r="U93" s="498" t="str">
        <f t="shared" si="39"/>
        <v/>
      </c>
      <c r="V93" s="117"/>
      <c r="W93" s="526" t="str">
        <f t="shared" si="48"/>
        <v/>
      </c>
      <c r="X93" s="425" t="str">
        <f t="shared" si="40"/>
        <v/>
      </c>
      <c r="Y93" s="551"/>
      <c r="Z93" s="496" t="str">
        <f t="shared" si="47"/>
        <v/>
      </c>
      <c r="AA93" s="497" t="str">
        <f t="shared" si="41"/>
        <v/>
      </c>
      <c r="AB93" s="498" t="str">
        <f t="shared" si="42"/>
        <v/>
      </c>
      <c r="AC93" s="118"/>
      <c r="AD93" s="522" t="str">
        <f t="shared" si="49"/>
        <v/>
      </c>
      <c r="AE93" s="425" t="str">
        <f t="shared" si="43"/>
        <v/>
      </c>
      <c r="AL93" s="426">
        <f t="shared" si="34"/>
        <v>0</v>
      </c>
      <c r="AM93" s="426">
        <f t="shared" si="34"/>
        <v>0</v>
      </c>
      <c r="AN93" s="426" t="e">
        <f t="shared" si="35"/>
        <v>#VALUE!</v>
      </c>
      <c r="AO93" s="426" t="e">
        <f t="shared" si="35"/>
        <v>#VALUE!</v>
      </c>
      <c r="AP93" s="427" t="e">
        <f t="shared" si="51"/>
        <v>#VALUE!</v>
      </c>
      <c r="AQ93" s="162">
        <f t="shared" si="50"/>
        <v>79</v>
      </c>
    </row>
    <row r="94" spans="1:43" x14ac:dyDescent="0.2">
      <c r="A94" s="95"/>
      <c r="B94" s="554"/>
      <c r="C94" s="474" t="str">
        <f t="shared" si="44"/>
        <v/>
      </c>
      <c r="D94" s="282" t="str">
        <f>IF(ISNUMBER(MATCH(C94,NDAWN!$A$6:$A$237,0))=TRUE,(VLOOKUP(C94,NDAWN!$A$6:$K$237,9,FALSE)),(""))</f>
        <v/>
      </c>
      <c r="E94" s="282" t="str">
        <f>IF(ISNUMBER(MATCH(C94,NDAWN!$A$6:$A$237,0))=TRUE,(VLOOKUP(C94,NDAWN!$A$6:$K$237,11,FALSE)),(""))</f>
        <v/>
      </c>
      <c r="F94" s="116">
        <f>IFERROR(VLOOKUP(C94,'Net Irrigation Calculator'!$A$10:$G$26,7,FALSE),(0))</f>
        <v>0</v>
      </c>
      <c r="G94" s="475" t="str">
        <f>IF(ISNUMBER(MATCH(C94,'Moisture Sensors (tensiometer)'!$AF$9:$AF$19,0))=TRUE,(VLOOKUP(C94,'Moisture Sensors (tensiometer)'!$AF$9:$AG$19,2)),(IF(D94="","",IF($D$9&gt;=G93,+G93-D94+E94+F94,$D$9))))</f>
        <v/>
      </c>
      <c r="H94" s="423" t="str">
        <f t="shared" si="36"/>
        <v/>
      </c>
      <c r="I94" s="554"/>
      <c r="J94" s="474" t="str">
        <f t="shared" si="45"/>
        <v/>
      </c>
      <c r="K94" s="282" t="str">
        <f>IF(ISNUMBER(MATCH(J94,NDAWN!$A$6:$A$237,0))=TRUE,(VLOOKUP(J94,NDAWN!$A$6:$K$237,9,FALSE)),(""))</f>
        <v/>
      </c>
      <c r="L94" s="282" t="str">
        <f>IF(ISNUMBER(MATCH(J94,NDAWN!$A$6:$A$237,0))=TRUE,(VLOOKUP(J94,NDAWN!$A$6:$K$237,11,FALSE)),(""))</f>
        <v/>
      </c>
      <c r="M94" s="143">
        <f>IFERROR(VLOOKUP(J94,'Net Irrigation Calculator'!$A$10:$G$26,7,FALSE),(0))</f>
        <v>0</v>
      </c>
      <c r="N94" s="483" t="str">
        <f>IF(ISNUMBER(MATCH(J94,'Moisture Sensors (tensiometer)'!$AF$9:$AF$19,0))=TRUE,(VLOOKUP(J94,'Moisture Sensors (tensiometer)'!$AF$9:$AG$19,2)),(IF(K94="","",IF($D$9&gt;=N93,+N93-K94+L94+M94,$D$9))))</f>
        <v/>
      </c>
      <c r="O94" s="424" t="str">
        <f t="shared" si="37"/>
        <v/>
      </c>
      <c r="R94" s="551"/>
      <c r="S94" s="496" t="str">
        <f t="shared" si="46"/>
        <v/>
      </c>
      <c r="T94" s="497" t="str">
        <f t="shared" si="38"/>
        <v/>
      </c>
      <c r="U94" s="498" t="str">
        <f t="shared" si="39"/>
        <v/>
      </c>
      <c r="V94" s="117"/>
      <c r="W94" s="526" t="str">
        <f t="shared" si="48"/>
        <v/>
      </c>
      <c r="X94" s="425" t="str">
        <f t="shared" si="40"/>
        <v/>
      </c>
      <c r="Y94" s="551"/>
      <c r="Z94" s="496" t="str">
        <f t="shared" si="47"/>
        <v/>
      </c>
      <c r="AA94" s="497" t="str">
        <f t="shared" si="41"/>
        <v/>
      </c>
      <c r="AB94" s="498" t="str">
        <f t="shared" si="42"/>
        <v/>
      </c>
      <c r="AC94" s="118"/>
      <c r="AD94" s="522" t="str">
        <f t="shared" si="49"/>
        <v/>
      </c>
      <c r="AE94" s="425" t="str">
        <f t="shared" si="43"/>
        <v/>
      </c>
      <c r="AL94" s="426">
        <f t="shared" si="34"/>
        <v>0</v>
      </c>
      <c r="AM94" s="426">
        <f t="shared" si="34"/>
        <v>0</v>
      </c>
      <c r="AN94" s="426" t="e">
        <f t="shared" si="35"/>
        <v>#VALUE!</v>
      </c>
      <c r="AO94" s="426" t="e">
        <f t="shared" si="35"/>
        <v>#VALUE!</v>
      </c>
      <c r="AP94" s="427" t="e">
        <f t="shared" si="51"/>
        <v>#VALUE!</v>
      </c>
      <c r="AQ94" s="162">
        <f t="shared" si="50"/>
        <v>80</v>
      </c>
    </row>
    <row r="95" spans="1:43" x14ac:dyDescent="0.2">
      <c r="A95" s="95"/>
      <c r="B95" s="554"/>
      <c r="C95" s="474" t="str">
        <f t="shared" si="44"/>
        <v/>
      </c>
      <c r="D95" s="282" t="str">
        <f>IF(ISNUMBER(MATCH(C95,NDAWN!$A$6:$A$237,0))=TRUE,(VLOOKUP(C95,NDAWN!$A$6:$K$237,9,FALSE)),(""))</f>
        <v/>
      </c>
      <c r="E95" s="282" t="str">
        <f>IF(ISNUMBER(MATCH(C95,NDAWN!$A$6:$A$237,0))=TRUE,(VLOOKUP(C95,NDAWN!$A$6:$K$237,11,FALSE)),(""))</f>
        <v/>
      </c>
      <c r="F95" s="116">
        <f>IFERROR(VLOOKUP(C95,'Net Irrigation Calculator'!$A$10:$G$26,7,FALSE),(0))</f>
        <v>0</v>
      </c>
      <c r="G95" s="475" t="str">
        <f>IF(ISNUMBER(MATCH(C95,'Moisture Sensors (tensiometer)'!$AF$9:$AF$19,0))=TRUE,(VLOOKUP(C95,'Moisture Sensors (tensiometer)'!$AF$9:$AG$19,2)),(IF(D95="","",IF($D$9&gt;=G94,+G94-D95+E95+F95,$D$9))))</f>
        <v/>
      </c>
      <c r="H95" s="423" t="str">
        <f t="shared" si="36"/>
        <v/>
      </c>
      <c r="I95" s="554"/>
      <c r="J95" s="474" t="str">
        <f t="shared" si="45"/>
        <v/>
      </c>
      <c r="K95" s="282" t="str">
        <f>IF(ISNUMBER(MATCH(J95,NDAWN!$A$6:$A$237,0))=TRUE,(VLOOKUP(J95,NDAWN!$A$6:$K$237,9,FALSE)),(""))</f>
        <v/>
      </c>
      <c r="L95" s="282" t="str">
        <f>IF(ISNUMBER(MATCH(J95,NDAWN!$A$6:$A$237,0))=TRUE,(VLOOKUP(J95,NDAWN!$A$6:$K$237,11,FALSE)),(""))</f>
        <v/>
      </c>
      <c r="M95" s="143">
        <f>IFERROR(VLOOKUP(J95,'Net Irrigation Calculator'!$A$10:$G$26,7,FALSE),(0))</f>
        <v>0</v>
      </c>
      <c r="N95" s="483" t="str">
        <f>IF(ISNUMBER(MATCH(J95,'Moisture Sensors (tensiometer)'!$AF$9:$AF$19,0))=TRUE,(VLOOKUP(J95,'Moisture Sensors (tensiometer)'!$AF$9:$AG$19,2)),(IF(K95="","",IF($D$9&gt;=N94,+N94-K95+L95+M95,$D$9))))</f>
        <v/>
      </c>
      <c r="O95" s="424" t="str">
        <f t="shared" si="37"/>
        <v/>
      </c>
      <c r="R95" s="551"/>
      <c r="S95" s="496" t="str">
        <f t="shared" si="46"/>
        <v/>
      </c>
      <c r="T95" s="497" t="str">
        <f t="shared" si="38"/>
        <v/>
      </c>
      <c r="U95" s="498" t="str">
        <f t="shared" si="39"/>
        <v/>
      </c>
      <c r="V95" s="117"/>
      <c r="W95" s="522" t="str">
        <f t="shared" si="48"/>
        <v/>
      </c>
      <c r="X95" s="425" t="str">
        <f t="shared" si="40"/>
        <v/>
      </c>
      <c r="Y95" s="551"/>
      <c r="Z95" s="496" t="str">
        <f t="shared" si="47"/>
        <v/>
      </c>
      <c r="AA95" s="497" t="str">
        <f t="shared" si="41"/>
        <v/>
      </c>
      <c r="AB95" s="498" t="str">
        <f t="shared" si="42"/>
        <v/>
      </c>
      <c r="AC95" s="118"/>
      <c r="AD95" s="522" t="str">
        <f t="shared" si="49"/>
        <v/>
      </c>
      <c r="AE95" s="425" t="str">
        <f t="shared" si="43"/>
        <v/>
      </c>
      <c r="AL95" s="426">
        <f t="shared" si="34"/>
        <v>0</v>
      </c>
      <c r="AM95" s="426">
        <f t="shared" si="34"/>
        <v>0</v>
      </c>
      <c r="AN95" s="426" t="e">
        <f t="shared" si="35"/>
        <v>#VALUE!</v>
      </c>
      <c r="AO95" s="426" t="e">
        <f t="shared" si="35"/>
        <v>#VALUE!</v>
      </c>
      <c r="AP95" s="427" t="e">
        <f t="shared" si="51"/>
        <v>#VALUE!</v>
      </c>
      <c r="AQ95" s="162">
        <f t="shared" si="50"/>
        <v>81</v>
      </c>
    </row>
    <row r="96" spans="1:43" x14ac:dyDescent="0.2">
      <c r="A96" s="95"/>
      <c r="B96" s="554"/>
      <c r="C96" s="474" t="str">
        <f t="shared" si="44"/>
        <v/>
      </c>
      <c r="D96" s="282" t="str">
        <f>IF(ISNUMBER(MATCH(C96,NDAWN!$A$6:$A$237,0))=TRUE,(VLOOKUP(C96,NDAWN!$A$6:$K$237,9,FALSE)),(""))</f>
        <v/>
      </c>
      <c r="E96" s="282" t="str">
        <f>IF(ISNUMBER(MATCH(C96,NDAWN!$A$6:$A$237,0))=TRUE,(VLOOKUP(C96,NDAWN!$A$6:$K$237,11,FALSE)),(""))</f>
        <v/>
      </c>
      <c r="F96" s="116">
        <f>IFERROR(VLOOKUP(C96,'Net Irrigation Calculator'!$A$10:$G$26,7,FALSE),(0))</f>
        <v>0</v>
      </c>
      <c r="G96" s="475" t="str">
        <f>IF(ISNUMBER(MATCH(C96,'Moisture Sensors (tensiometer)'!$AF$9:$AF$19,0))=TRUE,(VLOOKUP(C96,'Moisture Sensors (tensiometer)'!$AF$9:$AG$19,2)),(IF(D96="","",IF($D$9&gt;=G95,+G95-D96+E96+F96,$D$9))))</f>
        <v/>
      </c>
      <c r="H96" s="423" t="str">
        <f t="shared" si="36"/>
        <v/>
      </c>
      <c r="I96" s="554"/>
      <c r="J96" s="474" t="str">
        <f t="shared" si="45"/>
        <v/>
      </c>
      <c r="K96" s="282" t="str">
        <f>IF(ISNUMBER(MATCH(J96,NDAWN!$A$6:$A$237,0))=TRUE,(VLOOKUP(J96,NDAWN!$A$6:$K$237,9,FALSE)),(""))</f>
        <v/>
      </c>
      <c r="L96" s="282" t="str">
        <f>IF(ISNUMBER(MATCH(J96,NDAWN!$A$6:$A$237,0))=TRUE,(VLOOKUP(J96,NDAWN!$A$6:$K$237,11,FALSE)),(""))</f>
        <v/>
      </c>
      <c r="M96" s="143">
        <f>IFERROR(VLOOKUP(J96,'Net Irrigation Calculator'!$A$10:$G$26,7,FALSE),(0))</f>
        <v>0</v>
      </c>
      <c r="N96" s="483" t="str">
        <f>IF(ISNUMBER(MATCH(J96,'Moisture Sensors (tensiometer)'!$AF$9:$AF$19,0))=TRUE,(VLOOKUP(J96,'Moisture Sensors (tensiometer)'!$AF$9:$AG$19,2)),(IF(K96="","",IF($D$9&gt;=N95,+N95-K96+L96+M96,$D$9))))</f>
        <v/>
      </c>
      <c r="O96" s="424" t="str">
        <f t="shared" si="37"/>
        <v/>
      </c>
      <c r="R96" s="551"/>
      <c r="S96" s="496" t="str">
        <f t="shared" si="46"/>
        <v/>
      </c>
      <c r="T96" s="497" t="str">
        <f t="shared" si="38"/>
        <v/>
      </c>
      <c r="U96" s="498" t="str">
        <f t="shared" si="39"/>
        <v/>
      </c>
      <c r="V96" s="117"/>
      <c r="W96" s="526" t="str">
        <f t="shared" si="48"/>
        <v/>
      </c>
      <c r="X96" s="425" t="str">
        <f t="shared" si="40"/>
        <v/>
      </c>
      <c r="Y96" s="551"/>
      <c r="Z96" s="496" t="str">
        <f t="shared" si="47"/>
        <v/>
      </c>
      <c r="AA96" s="497" t="str">
        <f t="shared" si="41"/>
        <v/>
      </c>
      <c r="AB96" s="498" t="str">
        <f t="shared" si="42"/>
        <v/>
      </c>
      <c r="AC96" s="118"/>
      <c r="AD96" s="522" t="str">
        <f t="shared" si="49"/>
        <v/>
      </c>
      <c r="AE96" s="425" t="str">
        <f t="shared" si="43"/>
        <v/>
      </c>
      <c r="AL96" s="426">
        <f t="shared" si="34"/>
        <v>0</v>
      </c>
      <c r="AM96" s="426">
        <f t="shared" si="34"/>
        <v>0</v>
      </c>
      <c r="AN96" s="426" t="e">
        <f t="shared" si="35"/>
        <v>#VALUE!</v>
      </c>
      <c r="AO96" s="426" t="e">
        <f t="shared" si="35"/>
        <v>#VALUE!</v>
      </c>
      <c r="AP96" s="427" t="e">
        <f t="shared" si="51"/>
        <v>#VALUE!</v>
      </c>
      <c r="AQ96" s="162">
        <f t="shared" si="50"/>
        <v>82</v>
      </c>
    </row>
    <row r="97" spans="1:43" x14ac:dyDescent="0.2">
      <c r="A97" s="95"/>
      <c r="B97" s="554"/>
      <c r="C97" s="474" t="str">
        <f t="shared" si="44"/>
        <v/>
      </c>
      <c r="D97" s="282" t="str">
        <f>IF(ISNUMBER(MATCH(C97,NDAWN!$A$6:$A$237,0))=TRUE,(VLOOKUP(C97,NDAWN!$A$6:$K$237,9,FALSE)),(""))</f>
        <v/>
      </c>
      <c r="E97" s="282" t="str">
        <f>IF(ISNUMBER(MATCH(C97,NDAWN!$A$6:$A$237,0))=TRUE,(VLOOKUP(C97,NDAWN!$A$6:$K$237,11,FALSE)),(""))</f>
        <v/>
      </c>
      <c r="F97" s="116">
        <f>IFERROR(VLOOKUP(C97,'Net Irrigation Calculator'!$A$10:$G$26,7,FALSE),(0))</f>
        <v>0</v>
      </c>
      <c r="G97" s="475" t="str">
        <f>IF(ISNUMBER(MATCH(C97,'Moisture Sensors (tensiometer)'!$AF$9:$AF$19,0))=TRUE,(VLOOKUP(C97,'Moisture Sensors (tensiometer)'!$AF$9:$AG$19,2)),(IF(D97="","",IF($D$9&gt;=G96,+G96-D97+E97+F97,$D$9))))</f>
        <v/>
      </c>
      <c r="H97" s="423" t="str">
        <f t="shared" si="36"/>
        <v/>
      </c>
      <c r="I97" s="554"/>
      <c r="J97" s="474" t="str">
        <f t="shared" si="45"/>
        <v/>
      </c>
      <c r="K97" s="282" t="str">
        <f>IF(ISNUMBER(MATCH(J97,NDAWN!$A$6:$A$237,0))=TRUE,(VLOOKUP(J97,NDAWN!$A$6:$K$237,9,FALSE)),(""))</f>
        <v/>
      </c>
      <c r="L97" s="282" t="str">
        <f>IF(ISNUMBER(MATCH(J97,NDAWN!$A$6:$A$237,0))=TRUE,(VLOOKUP(J97,NDAWN!$A$6:$K$237,11,FALSE)),(""))</f>
        <v/>
      </c>
      <c r="M97" s="143">
        <f>IFERROR(VLOOKUP(J97,'Net Irrigation Calculator'!$A$10:$G$26,7,FALSE),(0))</f>
        <v>0</v>
      </c>
      <c r="N97" s="483" t="str">
        <f>IF(ISNUMBER(MATCH(J97,'Moisture Sensors (tensiometer)'!$AF$9:$AF$19,0))=TRUE,(VLOOKUP(J97,'Moisture Sensors (tensiometer)'!$AF$9:$AG$19,2)),(IF(K97="","",IF($D$9&gt;=N96,+N96-K97+L97+M97,$D$9))))</f>
        <v/>
      </c>
      <c r="O97" s="424" t="str">
        <f t="shared" si="37"/>
        <v/>
      </c>
      <c r="R97" s="551"/>
      <c r="S97" s="496" t="str">
        <f t="shared" si="46"/>
        <v/>
      </c>
      <c r="T97" s="497" t="str">
        <f t="shared" si="38"/>
        <v/>
      </c>
      <c r="U97" s="498" t="str">
        <f t="shared" si="39"/>
        <v/>
      </c>
      <c r="V97" s="117"/>
      <c r="W97" s="526" t="str">
        <f t="shared" si="48"/>
        <v/>
      </c>
      <c r="X97" s="425" t="str">
        <f t="shared" si="40"/>
        <v/>
      </c>
      <c r="Y97" s="551"/>
      <c r="Z97" s="496" t="str">
        <f t="shared" si="47"/>
        <v/>
      </c>
      <c r="AA97" s="497" t="str">
        <f t="shared" si="41"/>
        <v/>
      </c>
      <c r="AB97" s="498" t="str">
        <f t="shared" si="42"/>
        <v/>
      </c>
      <c r="AC97" s="118"/>
      <c r="AD97" s="522" t="str">
        <f t="shared" si="49"/>
        <v/>
      </c>
      <c r="AE97" s="425" t="str">
        <f t="shared" si="43"/>
        <v/>
      </c>
      <c r="AL97" s="426">
        <f t="shared" si="34"/>
        <v>0</v>
      </c>
      <c r="AM97" s="426">
        <f t="shared" si="34"/>
        <v>0</v>
      </c>
      <c r="AN97" s="426" t="e">
        <f t="shared" si="35"/>
        <v>#VALUE!</v>
      </c>
      <c r="AO97" s="426" t="e">
        <f t="shared" si="35"/>
        <v>#VALUE!</v>
      </c>
      <c r="AP97" s="427" t="e">
        <f t="shared" si="51"/>
        <v>#VALUE!</v>
      </c>
      <c r="AQ97" s="162">
        <f t="shared" si="50"/>
        <v>83</v>
      </c>
    </row>
    <row r="98" spans="1:43" ht="13.5" thickBot="1" x14ac:dyDescent="0.25">
      <c r="A98" s="95"/>
      <c r="B98" s="555"/>
      <c r="C98" s="476" t="str">
        <f t="shared" si="44"/>
        <v/>
      </c>
      <c r="D98" s="477" t="str">
        <f>IF(ISNUMBER(MATCH(C98,NDAWN!$A$6:$A$237,0))=TRUE,(VLOOKUP(C98,NDAWN!$A$6:$K$237,9,FALSE)),(""))</f>
        <v/>
      </c>
      <c r="E98" s="477" t="str">
        <f>IF(ISNUMBER(MATCH(C98,NDAWN!$A$6:$A$237,0))=TRUE,(VLOOKUP(C98,NDAWN!$A$6:$K$237,11,FALSE)),(""))</f>
        <v/>
      </c>
      <c r="F98" s="478">
        <f>IFERROR(VLOOKUP(C98,'Net Irrigation Calculator'!$A$10:$G$26,7,FALSE),(0))</f>
        <v>0</v>
      </c>
      <c r="G98" s="524" t="str">
        <f>IF(ISNUMBER(MATCH(C98,'Moisture Sensors (tensiometer)'!$AF$9:$AF$19,0))=TRUE,(VLOOKUP(C98,'Moisture Sensors (tensiometer)'!$AF$9:$AG$19,2)),(IF(D98="","",IF($D$9&gt;=G97,+G97-D98+E98+F98,$D$9))))</f>
        <v/>
      </c>
      <c r="H98" s="423" t="str">
        <f t="shared" si="36"/>
        <v/>
      </c>
      <c r="I98" s="555"/>
      <c r="J98" s="476" t="str">
        <f t="shared" si="45"/>
        <v/>
      </c>
      <c r="K98" s="477" t="str">
        <f>IF(ISNUMBER(MATCH(J98,NDAWN!$A$6:$A$237,0))=TRUE,(VLOOKUP(J98,NDAWN!$A$6:$K$237,9,FALSE)),(""))</f>
        <v/>
      </c>
      <c r="L98" s="477" t="str">
        <f>IF(ISNUMBER(MATCH(J98,NDAWN!$A$6:$A$237,0))=TRUE,(VLOOKUP(J98,NDAWN!$A$6:$K$237,11,FALSE)),(""))</f>
        <v/>
      </c>
      <c r="M98" s="484">
        <f>IFERROR(VLOOKUP(J98,'Net Irrigation Calculator'!$A$10:$G$26,7,FALSE),(0))</f>
        <v>0</v>
      </c>
      <c r="N98" s="485" t="str">
        <f>IF(ISNUMBER(MATCH(J98,'Moisture Sensors (tensiometer)'!$AF$9:$AF$19,0))=TRUE,(VLOOKUP(J98,'Moisture Sensors (tensiometer)'!$AF$9:$AG$19,2)),(IF(K98="","",IF($D$9&gt;=N97,+N97-K98+L98+M98,$D$9))))</f>
        <v/>
      </c>
      <c r="O98" s="424" t="str">
        <f t="shared" si="37"/>
        <v/>
      </c>
      <c r="R98" s="552"/>
      <c r="S98" s="499" t="str">
        <f t="shared" si="46"/>
        <v/>
      </c>
      <c r="T98" s="500" t="str">
        <f t="shared" si="38"/>
        <v/>
      </c>
      <c r="U98" s="501" t="str">
        <f t="shared" si="39"/>
        <v/>
      </c>
      <c r="V98" s="502"/>
      <c r="W98" s="527" t="str">
        <f t="shared" si="48"/>
        <v/>
      </c>
      <c r="X98" s="425" t="str">
        <f t="shared" si="40"/>
        <v/>
      </c>
      <c r="Y98" s="552"/>
      <c r="Z98" s="499" t="str">
        <f t="shared" si="47"/>
        <v/>
      </c>
      <c r="AA98" s="500" t="str">
        <f t="shared" si="41"/>
        <v/>
      </c>
      <c r="AB98" s="501" t="str">
        <f t="shared" si="42"/>
        <v/>
      </c>
      <c r="AC98" s="507"/>
      <c r="AD98" s="523" t="str">
        <f t="shared" si="49"/>
        <v/>
      </c>
      <c r="AE98" s="425" t="str">
        <f t="shared" si="43"/>
        <v/>
      </c>
      <c r="AL98" s="426">
        <f t="shared" si="34"/>
        <v>0</v>
      </c>
      <c r="AM98" s="426">
        <f t="shared" si="34"/>
        <v>0</v>
      </c>
      <c r="AN98" s="426" t="e">
        <f t="shared" si="35"/>
        <v>#VALUE!</v>
      </c>
      <c r="AO98" s="426" t="e">
        <f t="shared" si="35"/>
        <v>#VALUE!</v>
      </c>
      <c r="AP98" s="427" t="e">
        <f t="shared" si="51"/>
        <v>#VALUE!</v>
      </c>
      <c r="AQ98" s="162">
        <f t="shared" si="50"/>
        <v>84</v>
      </c>
    </row>
    <row r="99" spans="1:43" x14ac:dyDescent="0.2">
      <c r="D99" s="428"/>
      <c r="K99" s="428"/>
      <c r="T99" s="428"/>
      <c r="AA99" s="428"/>
      <c r="AP99" s="427" t="str">
        <f t="shared" si="51"/>
        <v/>
      </c>
      <c r="AQ99" s="162">
        <f>+AQ98+1</f>
        <v>85</v>
      </c>
    </row>
    <row r="100" spans="1:43" hidden="1" x14ac:dyDescent="0.2">
      <c r="D100" s="429">
        <f>SUM(D15:D98)</f>
        <v>0</v>
      </c>
      <c r="E100" s="430">
        <f>SUM(E15:E98)</f>
        <v>0</v>
      </c>
      <c r="F100" s="430">
        <f>SUM(F15:F98)</f>
        <v>0</v>
      </c>
      <c r="H100" s="431"/>
      <c r="K100" s="429">
        <f>SUM(K15:K98)</f>
        <v>0</v>
      </c>
      <c r="L100" s="430">
        <f>SUM(L15:L98)</f>
        <v>0</v>
      </c>
      <c r="M100" s="430">
        <f>SUM(M15:M98)</f>
        <v>0</v>
      </c>
      <c r="O100" s="432"/>
      <c r="Q100" s="54"/>
      <c r="T100" s="429">
        <f>SUM(T15:T98)</f>
        <v>0</v>
      </c>
      <c r="U100" s="433">
        <f>SUM(U15:U98)</f>
        <v>0</v>
      </c>
      <c r="V100" s="430">
        <f>SUM(V15:V98)</f>
        <v>0</v>
      </c>
      <c r="AA100" s="429">
        <f>SUM(AA15:AA98)</f>
        <v>0</v>
      </c>
      <c r="AB100" s="433">
        <f>SUM(AB15:AB98)</f>
        <v>0</v>
      </c>
      <c r="AC100" s="430">
        <f>SUM(AC15:AC98)</f>
        <v>0</v>
      </c>
      <c r="AP100" s="427" t="str">
        <f t="shared" si="51"/>
        <v/>
      </c>
      <c r="AQ100" s="162">
        <f t="shared" si="50"/>
        <v>86</v>
      </c>
    </row>
    <row r="101" spans="1:43" x14ac:dyDescent="0.2">
      <c r="H101" s="431"/>
      <c r="O101" s="432"/>
      <c r="Q101" s="54"/>
      <c r="AP101" s="427" t="str">
        <f t="shared" si="51"/>
        <v/>
      </c>
      <c r="AQ101" s="162">
        <f t="shared" si="50"/>
        <v>87</v>
      </c>
    </row>
    <row r="102" spans="1:43" x14ac:dyDescent="0.2">
      <c r="Q102" s="54"/>
      <c r="AP102" s="427" t="str">
        <f t="shared" si="51"/>
        <v/>
      </c>
      <c r="AQ102" s="162">
        <f t="shared" si="50"/>
        <v>88</v>
      </c>
    </row>
    <row r="103" spans="1:43" x14ac:dyDescent="0.2">
      <c r="Q103" s="54"/>
      <c r="AP103" s="427" t="str">
        <f t="shared" si="51"/>
        <v/>
      </c>
      <c r="AQ103" s="162">
        <f t="shared" si="50"/>
        <v>89</v>
      </c>
    </row>
    <row r="104" spans="1:43" x14ac:dyDescent="0.2">
      <c r="Q104" s="54"/>
      <c r="AP104" s="427" t="str">
        <f t="shared" si="51"/>
        <v/>
      </c>
      <c r="AQ104" s="162">
        <f t="shared" si="50"/>
        <v>90</v>
      </c>
    </row>
    <row r="105" spans="1:43" x14ac:dyDescent="0.2">
      <c r="Q105" s="54"/>
      <c r="R105" s="434"/>
      <c r="S105" s="435"/>
      <c r="T105" s="339"/>
      <c r="U105" s="92"/>
      <c r="V105" s="435"/>
      <c r="W105" s="339"/>
      <c r="X105" s="432"/>
      <c r="Y105" s="434"/>
      <c r="Z105" s="435"/>
      <c r="AA105" s="339"/>
      <c r="AB105" s="435"/>
      <c r="AC105" s="435"/>
      <c r="AD105" s="339"/>
      <c r="AE105" s="431"/>
      <c r="AP105" s="427" t="str">
        <f t="shared" si="51"/>
        <v/>
      </c>
      <c r="AQ105" s="162">
        <f t="shared" si="50"/>
        <v>91</v>
      </c>
    </row>
    <row r="106" spans="1:43" ht="18" x14ac:dyDescent="0.25">
      <c r="G106" s="519"/>
      <c r="Q106" s="54"/>
      <c r="R106" s="434"/>
      <c r="S106" s="435"/>
      <c r="T106" s="436"/>
      <c r="U106" s="93">
        <f>+Certification!B3</f>
        <v>0</v>
      </c>
      <c r="V106" s="437" t="s">
        <v>346</v>
      </c>
      <c r="W106" s="436"/>
      <c r="X106" s="432"/>
      <c r="Y106" s="434"/>
      <c r="Z106" s="435"/>
      <c r="AA106" s="339"/>
      <c r="AB106" s="435"/>
      <c r="AC106" s="435"/>
      <c r="AD106" s="339"/>
      <c r="AE106" s="431"/>
      <c r="AP106" s="427" t="str">
        <f t="shared" si="51"/>
        <v/>
      </c>
      <c r="AQ106" s="162">
        <f t="shared" si="50"/>
        <v>92</v>
      </c>
    </row>
    <row r="107" spans="1:43" x14ac:dyDescent="0.2">
      <c r="H107" s="519"/>
      <c r="Q107" s="54"/>
      <c r="R107" s="434"/>
      <c r="S107" s="435"/>
      <c r="T107" s="339"/>
      <c r="U107" s="92"/>
      <c r="V107" s="435"/>
      <c r="W107" s="339"/>
      <c r="X107" s="432"/>
      <c r="Y107" s="434"/>
      <c r="Z107" s="435"/>
      <c r="AA107" s="339"/>
      <c r="AB107" s="435"/>
      <c r="AC107" s="435"/>
      <c r="AD107" s="339"/>
      <c r="AE107" s="431"/>
      <c r="AP107" s="427" t="str">
        <f t="shared" si="51"/>
        <v/>
      </c>
      <c r="AQ107" s="162">
        <f t="shared" si="50"/>
        <v>93</v>
      </c>
    </row>
    <row r="108" spans="1:43" x14ac:dyDescent="0.2">
      <c r="Q108" s="54"/>
      <c r="R108" s="434"/>
      <c r="S108" s="435"/>
      <c r="T108" s="339"/>
      <c r="U108" s="92"/>
      <c r="V108" s="435"/>
      <c r="W108" s="339"/>
      <c r="X108" s="432"/>
      <c r="Y108" s="434"/>
      <c r="Z108" s="435"/>
      <c r="AA108" s="339"/>
      <c r="AB108" s="435"/>
      <c r="AC108" s="435"/>
      <c r="AD108" s="339"/>
      <c r="AE108" s="431"/>
      <c r="AP108" s="427" t="str">
        <f t="shared" si="51"/>
        <v/>
      </c>
      <c r="AQ108" s="162">
        <f t="shared" si="50"/>
        <v>94</v>
      </c>
    </row>
    <row r="109" spans="1:43" x14ac:dyDescent="0.2">
      <c r="Q109" s="54"/>
      <c r="R109" s="434"/>
      <c r="S109" s="435"/>
      <c r="T109" s="339"/>
      <c r="U109" s="92"/>
      <c r="V109" s="435"/>
      <c r="W109" s="339"/>
      <c r="X109" s="432"/>
      <c r="Y109" s="434"/>
      <c r="Z109" s="435"/>
      <c r="AA109" s="339"/>
      <c r="AB109" s="435"/>
      <c r="AC109" s="435"/>
      <c r="AD109" s="339"/>
      <c r="AE109" s="431"/>
      <c r="AP109" s="427" t="str">
        <f t="shared" si="51"/>
        <v/>
      </c>
      <c r="AQ109" s="162">
        <f t="shared" si="50"/>
        <v>95</v>
      </c>
    </row>
    <row r="110" spans="1:43" x14ac:dyDescent="0.2">
      <c r="Q110" s="54"/>
      <c r="R110" s="434"/>
      <c r="S110" s="435"/>
      <c r="T110" s="339"/>
      <c r="U110" s="92"/>
      <c r="V110" s="435"/>
      <c r="W110" s="339"/>
      <c r="X110" s="432"/>
      <c r="Y110" s="434"/>
      <c r="Z110" s="435"/>
      <c r="AA110" s="339"/>
      <c r="AB110" s="435"/>
      <c r="AC110" s="435"/>
      <c r="AD110" s="339"/>
      <c r="AE110" s="431"/>
      <c r="AP110" s="427" t="str">
        <f t="shared" si="51"/>
        <v/>
      </c>
      <c r="AQ110" s="162">
        <f t="shared" si="50"/>
        <v>96</v>
      </c>
    </row>
    <row r="111" spans="1:43" x14ac:dyDescent="0.2">
      <c r="Q111" s="54"/>
      <c r="R111" s="434"/>
      <c r="S111" s="435"/>
      <c r="T111" s="339"/>
      <c r="U111" s="92" t="s">
        <v>342</v>
      </c>
      <c r="V111" s="518">
        <v>43235</v>
      </c>
      <c r="W111" s="518">
        <f>C15</f>
        <v>0</v>
      </c>
      <c r="X111" s="432"/>
      <c r="Y111" s="434"/>
      <c r="Z111" s="435"/>
      <c r="AA111" s="339"/>
      <c r="AB111" s="435"/>
      <c r="AC111" s="435"/>
      <c r="AD111" s="339"/>
      <c r="AE111" s="431"/>
      <c r="AP111" s="427" t="str">
        <f t="shared" si="51"/>
        <v/>
      </c>
      <c r="AQ111" s="162">
        <f t="shared" si="50"/>
        <v>97</v>
      </c>
    </row>
    <row r="112" spans="1:43" x14ac:dyDescent="0.2">
      <c r="Q112" s="54"/>
      <c r="R112" s="434"/>
      <c r="S112" s="435"/>
      <c r="T112" s="339"/>
      <c r="U112" s="92" t="s">
        <v>343</v>
      </c>
      <c r="V112" s="518">
        <v>43374</v>
      </c>
      <c r="W112" s="518">
        <f>IF(J98="",0,J98)</f>
        <v>0</v>
      </c>
      <c r="X112" s="432"/>
      <c r="Y112" s="434"/>
      <c r="Z112" s="435"/>
      <c r="AA112" s="339"/>
      <c r="AB112" s="435"/>
      <c r="AC112" s="435"/>
      <c r="AD112" s="339"/>
      <c r="AE112" s="431"/>
      <c r="AP112" s="427" t="str">
        <f t="shared" si="51"/>
        <v/>
      </c>
      <c r="AQ112" s="162">
        <f t="shared" si="50"/>
        <v>98</v>
      </c>
    </row>
    <row r="113" spans="17:43" x14ac:dyDescent="0.2">
      <c r="Q113" s="54"/>
      <c r="R113" s="434"/>
      <c r="S113" s="435"/>
      <c r="T113" s="339"/>
      <c r="U113" s="92" t="s">
        <v>344</v>
      </c>
      <c r="V113" s="435">
        <f>MAD</f>
        <v>0</v>
      </c>
      <c r="W113" s="339"/>
      <c r="X113" s="432"/>
      <c r="Y113" s="434"/>
      <c r="Z113" s="435"/>
      <c r="AA113" s="339"/>
      <c r="AB113" s="435"/>
      <c r="AC113" s="435"/>
      <c r="AD113" s="339"/>
      <c r="AE113" s="431"/>
      <c r="AP113" s="427" t="str">
        <f t="shared" si="51"/>
        <v/>
      </c>
      <c r="AQ113" s="162">
        <f t="shared" si="50"/>
        <v>99</v>
      </c>
    </row>
    <row r="114" spans="17:43" x14ac:dyDescent="0.2">
      <c r="Q114" s="54"/>
      <c r="R114" s="434"/>
      <c r="S114" s="435"/>
      <c r="T114" s="339"/>
      <c r="U114" s="92" t="s">
        <v>344</v>
      </c>
      <c r="V114" s="435">
        <f>MAD</f>
        <v>0</v>
      </c>
      <c r="W114" s="339"/>
      <c r="X114" s="432"/>
      <c r="Y114" s="434"/>
      <c r="Z114" s="435"/>
      <c r="AA114" s="339"/>
      <c r="AB114" s="435"/>
      <c r="AC114" s="435"/>
      <c r="AD114" s="339"/>
      <c r="AE114" s="431"/>
      <c r="AP114" s="427" t="str">
        <f t="shared" si="51"/>
        <v/>
      </c>
      <c r="AQ114" s="162">
        <f t="shared" si="50"/>
        <v>100</v>
      </c>
    </row>
    <row r="115" spans="17:43" x14ac:dyDescent="0.2">
      <c r="Q115" s="54"/>
      <c r="R115" s="434"/>
      <c r="S115" s="435"/>
      <c r="T115" s="339"/>
      <c r="U115" s="92" t="s">
        <v>345</v>
      </c>
      <c r="V115" s="435">
        <f>FieldCap</f>
        <v>0</v>
      </c>
      <c r="W115" s="339"/>
      <c r="X115" s="432"/>
      <c r="Y115" s="434"/>
      <c r="Z115" s="435"/>
      <c r="AA115" s="339"/>
      <c r="AB115" s="435"/>
      <c r="AC115" s="435"/>
      <c r="AD115" s="339"/>
      <c r="AE115" s="431"/>
      <c r="AP115" s="427" t="str">
        <f t="shared" si="51"/>
        <v/>
      </c>
      <c r="AQ115" s="162">
        <f t="shared" si="50"/>
        <v>101</v>
      </c>
    </row>
    <row r="116" spans="17:43" x14ac:dyDescent="0.2">
      <c r="Q116" s="54"/>
      <c r="R116" s="434"/>
      <c r="S116" s="435"/>
      <c r="T116" s="339"/>
      <c r="U116" s="92" t="s">
        <v>345</v>
      </c>
      <c r="V116" s="435">
        <f>FieldCap</f>
        <v>0</v>
      </c>
      <c r="W116" s="339"/>
      <c r="X116" s="432"/>
      <c r="Y116" s="434"/>
      <c r="Z116" s="435"/>
      <c r="AA116" s="339"/>
      <c r="AB116" s="435"/>
      <c r="AC116" s="435"/>
      <c r="AD116" s="339"/>
      <c r="AE116" s="431"/>
      <c r="AP116" s="427" t="str">
        <f t="shared" si="51"/>
        <v/>
      </c>
      <c r="AQ116" s="162">
        <f t="shared" si="50"/>
        <v>102</v>
      </c>
    </row>
    <row r="117" spans="17:43" x14ac:dyDescent="0.2">
      <c r="Q117" s="54"/>
      <c r="R117" s="434"/>
      <c r="S117" s="435"/>
      <c r="T117" s="339"/>
      <c r="U117" s="92"/>
      <c r="V117" s="435"/>
      <c r="W117" s="339"/>
      <c r="X117" s="432"/>
      <c r="Y117" s="434"/>
      <c r="Z117" s="435"/>
      <c r="AA117" s="339"/>
      <c r="AB117" s="435"/>
      <c r="AC117" s="435"/>
      <c r="AD117" s="339"/>
      <c r="AE117" s="431"/>
      <c r="AP117" s="427" t="str">
        <f t="shared" si="51"/>
        <v/>
      </c>
      <c r="AQ117" s="162">
        <f t="shared" si="50"/>
        <v>103</v>
      </c>
    </row>
    <row r="118" spans="17:43" x14ac:dyDescent="0.2">
      <c r="Q118" s="54"/>
      <c r="R118" s="434"/>
      <c r="S118" s="435"/>
      <c r="T118" s="339"/>
      <c r="U118" s="92"/>
      <c r="V118" s="438"/>
      <c r="W118" s="339"/>
      <c r="X118" s="432"/>
      <c r="Y118" s="434"/>
      <c r="Z118" s="435"/>
      <c r="AA118" s="339"/>
      <c r="AB118" s="435"/>
      <c r="AC118" s="435"/>
      <c r="AD118" s="339"/>
      <c r="AE118" s="431"/>
      <c r="AP118" s="427" t="str">
        <f t="shared" si="51"/>
        <v/>
      </c>
      <c r="AQ118" s="162">
        <f t="shared" si="50"/>
        <v>104</v>
      </c>
    </row>
    <row r="119" spans="17:43" x14ac:dyDescent="0.2">
      <c r="Q119" s="54"/>
      <c r="R119" s="434"/>
      <c r="S119" s="435"/>
      <c r="T119" s="339"/>
      <c r="U119" s="92"/>
      <c r="V119" s="435"/>
      <c r="W119" s="339"/>
      <c r="X119" s="432"/>
      <c r="Y119" s="434"/>
      <c r="Z119" s="435"/>
      <c r="AA119" s="339"/>
      <c r="AB119" s="435"/>
      <c r="AC119" s="435"/>
      <c r="AD119" s="339"/>
      <c r="AE119" s="431"/>
      <c r="AP119" s="427" t="str">
        <f t="shared" si="51"/>
        <v/>
      </c>
      <c r="AQ119" s="162">
        <f t="shared" si="50"/>
        <v>105</v>
      </c>
    </row>
    <row r="120" spans="17:43" x14ac:dyDescent="0.2">
      <c r="Q120" s="54"/>
      <c r="R120" s="434"/>
      <c r="S120" s="435"/>
      <c r="T120" s="339"/>
      <c r="U120" s="92"/>
      <c r="V120" s="435"/>
      <c r="W120" s="339"/>
      <c r="X120" s="432"/>
      <c r="Y120" s="434"/>
      <c r="Z120" s="435"/>
      <c r="AA120" s="339"/>
      <c r="AB120" s="435"/>
      <c r="AC120" s="435"/>
      <c r="AD120" s="339"/>
      <c r="AE120" s="431"/>
      <c r="AP120" s="427" t="str">
        <f t="shared" si="51"/>
        <v/>
      </c>
      <c r="AQ120" s="162">
        <f t="shared" si="50"/>
        <v>106</v>
      </c>
    </row>
    <row r="121" spans="17:43" x14ac:dyDescent="0.2">
      <c r="Q121" s="54"/>
      <c r="R121" s="434"/>
      <c r="S121" s="435"/>
      <c r="T121" s="339"/>
      <c r="U121" s="92"/>
      <c r="V121" s="435"/>
      <c r="W121" s="339"/>
      <c r="X121" s="432"/>
      <c r="Y121" s="434"/>
      <c r="Z121" s="435"/>
      <c r="AA121" s="339"/>
      <c r="AB121" s="435"/>
      <c r="AC121" s="435"/>
      <c r="AD121" s="339"/>
      <c r="AE121" s="431"/>
      <c r="AP121" s="427" t="str">
        <f t="shared" si="51"/>
        <v/>
      </c>
      <c r="AQ121" s="162">
        <f t="shared" si="50"/>
        <v>107</v>
      </c>
    </row>
    <row r="122" spans="17:43" x14ac:dyDescent="0.2">
      <c r="Q122" s="54"/>
      <c r="R122" s="434"/>
      <c r="S122" s="435"/>
      <c r="T122" s="339"/>
      <c r="U122" s="92"/>
      <c r="V122" s="435"/>
      <c r="W122" s="339"/>
      <c r="X122" s="432"/>
      <c r="Y122" s="434"/>
      <c r="Z122" s="435"/>
      <c r="AA122" s="339"/>
      <c r="AB122" s="435"/>
      <c r="AC122" s="438"/>
      <c r="AD122" s="339"/>
      <c r="AE122" s="431"/>
      <c r="AP122" s="427" t="str">
        <f t="shared" si="51"/>
        <v/>
      </c>
      <c r="AQ122" s="162">
        <f t="shared" si="50"/>
        <v>108</v>
      </c>
    </row>
    <row r="123" spans="17:43" x14ac:dyDescent="0.2">
      <c r="Q123" s="54"/>
      <c r="R123" s="434"/>
      <c r="S123" s="435"/>
      <c r="T123" s="339"/>
      <c r="U123" s="92"/>
      <c r="V123" s="435"/>
      <c r="W123" s="339"/>
      <c r="X123" s="432"/>
      <c r="Y123" s="434"/>
      <c r="Z123" s="435"/>
      <c r="AA123" s="339"/>
      <c r="AB123" s="435"/>
      <c r="AC123" s="435"/>
      <c r="AD123" s="339"/>
      <c r="AE123" s="431"/>
      <c r="AP123" s="427" t="str">
        <f t="shared" si="51"/>
        <v/>
      </c>
      <c r="AQ123" s="162">
        <f t="shared" si="50"/>
        <v>109</v>
      </c>
    </row>
    <row r="124" spans="17:43" x14ac:dyDescent="0.2">
      <c r="Q124" s="54"/>
      <c r="R124" s="434"/>
      <c r="S124" s="435"/>
      <c r="T124" s="339"/>
      <c r="U124" s="92"/>
      <c r="V124" s="435"/>
      <c r="W124" s="339"/>
      <c r="X124" s="432"/>
      <c r="Y124" s="434"/>
      <c r="Z124" s="435"/>
      <c r="AA124" s="339"/>
      <c r="AB124" s="435"/>
      <c r="AC124" s="435"/>
      <c r="AD124" s="339"/>
      <c r="AE124" s="431"/>
      <c r="AP124" s="427" t="str">
        <f t="shared" si="51"/>
        <v/>
      </c>
      <c r="AQ124" s="162">
        <f t="shared" si="50"/>
        <v>110</v>
      </c>
    </row>
    <row r="125" spans="17:43" x14ac:dyDescent="0.2">
      <c r="Q125" s="54"/>
      <c r="R125" s="434"/>
      <c r="S125" s="435"/>
      <c r="T125" s="339"/>
      <c r="U125" s="92"/>
      <c r="V125" s="435"/>
      <c r="W125" s="339"/>
      <c r="X125" s="432"/>
      <c r="Y125" s="434"/>
      <c r="Z125" s="435"/>
      <c r="AA125" s="339"/>
      <c r="AB125" s="435"/>
      <c r="AC125" s="438"/>
      <c r="AD125" s="339"/>
      <c r="AE125" s="431"/>
      <c r="AP125" s="427" t="str">
        <f t="shared" si="51"/>
        <v/>
      </c>
      <c r="AQ125" s="162">
        <f t="shared" si="50"/>
        <v>111</v>
      </c>
    </row>
    <row r="126" spans="17:43" x14ac:dyDescent="0.2">
      <c r="Q126" s="54"/>
      <c r="R126" s="439"/>
      <c r="S126" s="54"/>
      <c r="T126" s="440"/>
      <c r="U126" s="440"/>
      <c r="V126" s="441"/>
      <c r="W126" s="54"/>
      <c r="X126" s="54"/>
      <c r="Y126" s="54"/>
      <c r="Z126" s="54"/>
      <c r="AA126" s="440"/>
      <c r="AB126" s="440"/>
      <c r="AC126" s="441"/>
      <c r="AD126" s="54"/>
      <c r="AE126" s="431"/>
      <c r="AP126" s="427" t="str">
        <f t="shared" si="51"/>
        <v/>
      </c>
      <c r="AQ126" s="162">
        <f t="shared" si="50"/>
        <v>112</v>
      </c>
    </row>
    <row r="127" spans="17:43" x14ac:dyDescent="0.2">
      <c r="Q127" s="54"/>
      <c r="R127" s="439"/>
      <c r="S127" s="54"/>
      <c r="T127" s="54"/>
      <c r="U127" s="54"/>
      <c r="V127" s="54"/>
      <c r="W127" s="54"/>
      <c r="X127" s="54"/>
      <c r="Y127" s="54"/>
      <c r="Z127" s="54"/>
      <c r="AA127" s="54"/>
      <c r="AB127" s="54"/>
      <c r="AC127" s="54"/>
      <c r="AD127" s="54"/>
      <c r="AP127" s="427" t="str">
        <f t="shared" si="51"/>
        <v/>
      </c>
      <c r="AQ127" s="162">
        <f t="shared" si="50"/>
        <v>113</v>
      </c>
    </row>
    <row r="128" spans="17:43" x14ac:dyDescent="0.2">
      <c r="Q128" s="54"/>
      <c r="R128" s="439"/>
      <c r="S128" s="54"/>
      <c r="T128" s="54"/>
      <c r="U128" s="54"/>
      <c r="V128" s="54"/>
      <c r="W128" s="54"/>
      <c r="X128" s="54"/>
      <c r="Y128" s="54"/>
      <c r="Z128" s="54"/>
      <c r="AA128" s="54"/>
      <c r="AB128" s="54"/>
      <c r="AC128" s="54"/>
      <c r="AD128" s="54"/>
      <c r="AP128" s="427" t="str">
        <f t="shared" si="51"/>
        <v/>
      </c>
      <c r="AQ128" s="162">
        <f t="shared" si="50"/>
        <v>114</v>
      </c>
    </row>
    <row r="129" spans="17:43" x14ac:dyDescent="0.2">
      <c r="Q129" s="54"/>
      <c r="R129" s="439"/>
      <c r="S129" s="54"/>
      <c r="T129" s="54"/>
      <c r="U129" s="54"/>
      <c r="V129" s="54"/>
      <c r="W129" s="54"/>
      <c r="X129" s="54"/>
      <c r="Y129" s="54"/>
      <c r="Z129" s="54"/>
      <c r="AA129" s="54"/>
      <c r="AB129" s="54"/>
      <c r="AC129" s="54"/>
      <c r="AD129" s="54"/>
      <c r="AP129" s="427" t="str">
        <f t="shared" si="51"/>
        <v/>
      </c>
      <c r="AQ129" s="162">
        <f t="shared" si="50"/>
        <v>115</v>
      </c>
    </row>
    <row r="130" spans="17:43" x14ac:dyDescent="0.2">
      <c r="Q130" s="54"/>
      <c r="R130" s="439"/>
      <c r="S130" s="54"/>
      <c r="T130" s="54"/>
      <c r="U130" s="54"/>
      <c r="V130" s="54"/>
      <c r="W130" s="54"/>
      <c r="X130" s="54"/>
      <c r="Y130" s="54"/>
      <c r="Z130" s="54"/>
      <c r="AA130" s="54"/>
      <c r="AB130" s="54"/>
      <c r="AC130" s="54"/>
      <c r="AD130" s="54"/>
      <c r="AP130" s="427" t="str">
        <f t="shared" si="51"/>
        <v/>
      </c>
      <c r="AQ130" s="162">
        <f t="shared" si="50"/>
        <v>116</v>
      </c>
    </row>
    <row r="131" spans="17:43" x14ac:dyDescent="0.2">
      <c r="Q131" s="54"/>
      <c r="R131" s="439"/>
      <c r="S131" s="54"/>
      <c r="T131" s="54"/>
      <c r="U131" s="54"/>
      <c r="V131" s="54"/>
      <c r="W131" s="54"/>
      <c r="X131" s="54"/>
      <c r="Y131" s="54"/>
      <c r="Z131" s="54"/>
      <c r="AA131" s="54"/>
      <c r="AB131" s="54"/>
      <c r="AC131" s="54"/>
      <c r="AD131" s="54"/>
      <c r="AP131" s="427" t="str">
        <f t="shared" si="51"/>
        <v/>
      </c>
      <c r="AQ131" s="162">
        <f t="shared" si="50"/>
        <v>117</v>
      </c>
    </row>
    <row r="132" spans="17:43" x14ac:dyDescent="0.2">
      <c r="Q132" s="54"/>
      <c r="R132" s="439"/>
      <c r="S132" s="54"/>
      <c r="T132" s="54"/>
      <c r="U132" s="54"/>
      <c r="V132" s="54"/>
      <c r="W132" s="54"/>
      <c r="X132" s="54"/>
      <c r="Y132" s="54"/>
      <c r="Z132" s="54"/>
      <c r="AA132" s="54"/>
      <c r="AB132" s="54"/>
      <c r="AC132" s="54"/>
      <c r="AD132" s="54"/>
      <c r="AP132" s="427" t="str">
        <f t="shared" si="51"/>
        <v/>
      </c>
      <c r="AQ132" s="162">
        <f t="shared" si="50"/>
        <v>118</v>
      </c>
    </row>
    <row r="133" spans="17:43" x14ac:dyDescent="0.2">
      <c r="Q133" s="54"/>
      <c r="R133" s="439"/>
      <c r="S133" s="54"/>
      <c r="T133" s="54"/>
      <c r="U133" s="54"/>
      <c r="V133" s="54"/>
      <c r="W133" s="54"/>
      <c r="X133" s="54"/>
      <c r="Y133" s="54"/>
      <c r="Z133" s="54"/>
      <c r="AA133" s="54"/>
      <c r="AB133" s="54"/>
      <c r="AC133" s="54"/>
      <c r="AD133" s="54"/>
      <c r="AP133" s="427" t="str">
        <f t="shared" si="51"/>
        <v/>
      </c>
      <c r="AQ133" s="162">
        <f t="shared" si="50"/>
        <v>119</v>
      </c>
    </row>
    <row r="134" spans="17:43" x14ac:dyDescent="0.2">
      <c r="Q134" s="54"/>
      <c r="R134" s="54"/>
      <c r="S134" s="54"/>
      <c r="T134" s="54"/>
      <c r="U134" s="54"/>
      <c r="V134" s="54"/>
      <c r="W134" s="54"/>
      <c r="X134" s="54"/>
      <c r="Y134" s="54"/>
      <c r="Z134" s="54"/>
      <c r="AA134" s="54"/>
      <c r="AB134" s="54"/>
      <c r="AC134" s="54"/>
      <c r="AD134" s="54"/>
      <c r="AP134" s="427" t="str">
        <f t="shared" si="51"/>
        <v/>
      </c>
      <c r="AQ134" s="162">
        <f t="shared" si="50"/>
        <v>120</v>
      </c>
    </row>
    <row r="135" spans="17:43" x14ac:dyDescent="0.2">
      <c r="Q135" s="54"/>
      <c r="R135" s="54"/>
      <c r="S135" s="54"/>
      <c r="T135" s="54"/>
      <c r="U135" s="54"/>
      <c r="V135" s="54"/>
      <c r="W135" s="54"/>
      <c r="X135" s="54"/>
      <c r="Y135" s="54"/>
      <c r="Z135" s="54"/>
      <c r="AA135" s="54"/>
      <c r="AB135" s="54"/>
      <c r="AC135" s="54"/>
      <c r="AD135" s="54"/>
      <c r="AP135" s="427" t="str">
        <f t="shared" si="51"/>
        <v/>
      </c>
      <c r="AQ135" s="162">
        <f t="shared" si="50"/>
        <v>121</v>
      </c>
    </row>
    <row r="136" spans="17:43" x14ac:dyDescent="0.2">
      <c r="Q136" s="54"/>
      <c r="AP136" s="427" t="str">
        <f t="shared" si="51"/>
        <v/>
      </c>
      <c r="AQ136" s="162">
        <f t="shared" si="50"/>
        <v>122</v>
      </c>
    </row>
    <row r="137" spans="17:43" x14ac:dyDescent="0.2">
      <c r="Q137" s="54"/>
      <c r="AP137" s="427" t="str">
        <f t="shared" si="51"/>
        <v/>
      </c>
      <c r="AQ137" s="162">
        <f t="shared" si="50"/>
        <v>123</v>
      </c>
    </row>
    <row r="138" spans="17:43" x14ac:dyDescent="0.2">
      <c r="Q138" s="54"/>
      <c r="AP138" s="427" t="str">
        <f t="shared" si="51"/>
        <v/>
      </c>
      <c r="AQ138" s="162">
        <f t="shared" si="50"/>
        <v>124</v>
      </c>
    </row>
    <row r="139" spans="17:43" x14ac:dyDescent="0.2">
      <c r="Q139" s="54"/>
      <c r="AP139" s="427" t="str">
        <f t="shared" si="51"/>
        <v/>
      </c>
      <c r="AQ139" s="162">
        <f t="shared" si="50"/>
        <v>125</v>
      </c>
    </row>
    <row r="140" spans="17:43" x14ac:dyDescent="0.2">
      <c r="Q140" s="54"/>
      <c r="AP140" s="427" t="str">
        <f t="shared" si="51"/>
        <v/>
      </c>
      <c r="AQ140" s="162">
        <f t="shared" si="50"/>
        <v>126</v>
      </c>
    </row>
    <row r="141" spans="17:43" x14ac:dyDescent="0.2">
      <c r="Q141" s="54"/>
      <c r="AP141" s="427" t="str">
        <f t="shared" si="51"/>
        <v/>
      </c>
      <c r="AQ141" s="162">
        <f t="shared" si="50"/>
        <v>127</v>
      </c>
    </row>
    <row r="142" spans="17:43" x14ac:dyDescent="0.2">
      <c r="Q142" s="54"/>
      <c r="AP142" s="427" t="str">
        <f t="shared" si="51"/>
        <v/>
      </c>
      <c r="AQ142" s="162">
        <f t="shared" si="50"/>
        <v>128</v>
      </c>
    </row>
    <row r="143" spans="17:43" x14ac:dyDescent="0.2">
      <c r="Q143" s="54"/>
      <c r="AP143" s="427" t="str">
        <f t="shared" si="51"/>
        <v/>
      </c>
      <c r="AQ143" s="162">
        <f t="shared" si="50"/>
        <v>129</v>
      </c>
    </row>
    <row r="144" spans="17:43" x14ac:dyDescent="0.2">
      <c r="Q144" s="54"/>
      <c r="AP144" s="427" t="str">
        <f t="shared" si="51"/>
        <v/>
      </c>
      <c r="AQ144" s="162">
        <f t="shared" si="50"/>
        <v>130</v>
      </c>
    </row>
    <row r="145" spans="17:43" x14ac:dyDescent="0.2">
      <c r="Q145" s="54"/>
      <c r="AP145" s="427" t="str">
        <f t="shared" si="51"/>
        <v/>
      </c>
      <c r="AQ145" s="162">
        <f>+AQ144+1</f>
        <v>131</v>
      </c>
    </row>
    <row r="146" spans="17:43" x14ac:dyDescent="0.2">
      <c r="Q146" s="54"/>
      <c r="AP146" s="427" t="str">
        <f>IF(+D146&gt;0,+$AP$15+AP145,"")</f>
        <v/>
      </c>
      <c r="AQ146" s="162">
        <f>+AQ145+1</f>
        <v>132</v>
      </c>
    </row>
    <row r="147" spans="17:43" x14ac:dyDescent="0.2">
      <c r="Q147" s="54"/>
      <c r="AP147" s="427"/>
    </row>
    <row r="148" spans="17:43" x14ac:dyDescent="0.2">
      <c r="Q148" s="54"/>
      <c r="AP148" s="427"/>
    </row>
    <row r="149" spans="17:43" x14ac:dyDescent="0.2">
      <c r="Q149" s="54"/>
      <c r="AP149" s="427"/>
    </row>
    <row r="150" spans="17:43" x14ac:dyDescent="0.2">
      <c r="Q150" s="54"/>
      <c r="AP150" s="427"/>
    </row>
    <row r="151" spans="17:43" x14ac:dyDescent="0.2">
      <c r="Q151" s="54"/>
      <c r="AP151" s="427"/>
    </row>
    <row r="152" spans="17:43" x14ac:dyDescent="0.2">
      <c r="Q152" s="54"/>
      <c r="AP152" s="427"/>
    </row>
    <row r="153" spans="17:43" x14ac:dyDescent="0.2">
      <c r="Q153" s="54"/>
      <c r="AP153" s="427"/>
    </row>
    <row r="154" spans="17:43" x14ac:dyDescent="0.2">
      <c r="Q154" s="54"/>
      <c r="AP154" s="427"/>
    </row>
    <row r="155" spans="17:43" x14ac:dyDescent="0.2">
      <c r="Q155" s="54"/>
      <c r="AP155" s="427"/>
    </row>
    <row r="156" spans="17:43" x14ac:dyDescent="0.2">
      <c r="Q156" s="54"/>
      <c r="AP156" s="427"/>
    </row>
    <row r="157" spans="17:43" x14ac:dyDescent="0.2">
      <c r="Q157" s="54"/>
      <c r="AP157" s="427"/>
    </row>
    <row r="158" spans="17:43" x14ac:dyDescent="0.2">
      <c r="Q158" s="54"/>
      <c r="AP158" s="427"/>
    </row>
    <row r="159" spans="17:43" x14ac:dyDescent="0.2">
      <c r="Q159" s="54"/>
      <c r="AP159" s="427"/>
    </row>
    <row r="160" spans="17:43" x14ac:dyDescent="0.2">
      <c r="Q160" s="54"/>
      <c r="AP160" s="427"/>
    </row>
    <row r="161" spans="17:42" x14ac:dyDescent="0.2">
      <c r="Q161" s="54"/>
      <c r="AP161" s="427"/>
    </row>
    <row r="162" spans="17:42" x14ac:dyDescent="0.2">
      <c r="AP162" s="427"/>
    </row>
    <row r="163" spans="17:42" x14ac:dyDescent="0.2">
      <c r="AP163" s="427"/>
    </row>
    <row r="164" spans="17:42" x14ac:dyDescent="0.2">
      <c r="AP164" s="427"/>
    </row>
    <row r="165" spans="17:42" x14ac:dyDescent="0.2">
      <c r="AP165" s="427"/>
    </row>
    <row r="166" spans="17:42" x14ac:dyDescent="0.2">
      <c r="AP166" s="427"/>
    </row>
    <row r="167" spans="17:42" x14ac:dyDescent="0.2">
      <c r="AP167" s="427"/>
    </row>
    <row r="168" spans="17:42" x14ac:dyDescent="0.2">
      <c r="AP168" s="427"/>
    </row>
    <row r="169" spans="17:42" x14ac:dyDescent="0.2">
      <c r="AP169" s="427"/>
    </row>
    <row r="170" spans="17:42" x14ac:dyDescent="0.2">
      <c r="AP170" s="427"/>
    </row>
    <row r="171" spans="17:42" x14ac:dyDescent="0.2">
      <c r="AP171" s="427"/>
    </row>
    <row r="172" spans="17:42" x14ac:dyDescent="0.2">
      <c r="AP172" s="427"/>
    </row>
    <row r="173" spans="17:42" x14ac:dyDescent="0.2">
      <c r="AP173" s="427"/>
    </row>
    <row r="174" spans="17:42" x14ac:dyDescent="0.2">
      <c r="AP174" s="427"/>
    </row>
    <row r="175" spans="17:42" x14ac:dyDescent="0.2">
      <c r="AP175" s="427"/>
    </row>
    <row r="176" spans="17:42" x14ac:dyDescent="0.2">
      <c r="AP176" s="427"/>
    </row>
    <row r="177" spans="2:42" x14ac:dyDescent="0.2">
      <c r="AP177" s="427"/>
    </row>
    <row r="178" spans="2:42" x14ac:dyDescent="0.2">
      <c r="AP178" s="427"/>
    </row>
    <row r="179" spans="2:42" x14ac:dyDescent="0.2">
      <c r="AP179" s="427"/>
    </row>
    <row r="180" spans="2:42" x14ac:dyDescent="0.2">
      <c r="AP180" s="427"/>
    </row>
    <row r="181" spans="2:42" x14ac:dyDescent="0.2">
      <c r="B181" s="442"/>
      <c r="C181" s="443"/>
      <c r="D181" s="443"/>
      <c r="E181" s="443"/>
      <c r="F181" s="443"/>
      <c r="G181" s="443"/>
      <c r="AP181" s="427"/>
    </row>
    <row r="182" spans="2:42" x14ac:dyDescent="0.2">
      <c r="B182" s="442"/>
      <c r="C182" s="442"/>
      <c r="AP182" s="427"/>
    </row>
    <row r="183" spans="2:42" x14ac:dyDescent="0.2">
      <c r="B183" s="442"/>
    </row>
    <row r="184" spans="2:42" x14ac:dyDescent="0.2">
      <c r="B184" s="442"/>
    </row>
    <row r="185" spans="2:42" x14ac:dyDescent="0.2">
      <c r="B185" s="442"/>
    </row>
    <row r="187" spans="2:42" x14ac:dyDescent="0.2">
      <c r="B187" s="442"/>
    </row>
    <row r="503" spans="17:18" x14ac:dyDescent="0.2">
      <c r="Q503" s="54"/>
      <c r="R503" s="54"/>
    </row>
    <row r="504" spans="17:18" x14ac:dyDescent="0.2">
      <c r="Q504" s="54"/>
      <c r="R504" s="54"/>
    </row>
    <row r="505" spans="17:18" x14ac:dyDescent="0.2">
      <c r="Q505" s="54"/>
      <c r="R505" s="54"/>
    </row>
    <row r="506" spans="17:18" x14ac:dyDescent="0.2">
      <c r="Q506" s="54"/>
      <c r="R506" s="54"/>
    </row>
    <row r="507" spans="17:18" x14ac:dyDescent="0.2">
      <c r="Q507" s="54"/>
      <c r="R507" s="54"/>
    </row>
    <row r="508" spans="17:18" x14ac:dyDescent="0.2">
      <c r="Q508" s="54"/>
      <c r="R508" s="54"/>
    </row>
    <row r="509" spans="17:18" x14ac:dyDescent="0.2">
      <c r="Q509" s="54"/>
      <c r="R509" s="54"/>
    </row>
    <row r="510" spans="17:18" x14ac:dyDescent="0.2">
      <c r="Q510" s="54"/>
      <c r="R510" s="54"/>
    </row>
  </sheetData>
  <sheetProtection sheet="1" objects="1" scenarios="1"/>
  <mergeCells count="55">
    <mergeCell ref="E13:F13"/>
    <mergeCell ref="L13:M13"/>
    <mergeCell ref="U13:V13"/>
    <mergeCell ref="AB13:AC13"/>
    <mergeCell ref="I64:I70"/>
    <mergeCell ref="R15:R21"/>
    <mergeCell ref="Y15:Y21"/>
    <mergeCell ref="R22:R28"/>
    <mergeCell ref="Y22:Y28"/>
    <mergeCell ref="R29:R35"/>
    <mergeCell ref="Y29:Y35"/>
    <mergeCell ref="R36:R42"/>
    <mergeCell ref="Y36:Y42"/>
    <mergeCell ref="R43:R49"/>
    <mergeCell ref="Y43:Y49"/>
    <mergeCell ref="R50:R56"/>
    <mergeCell ref="I85:I91"/>
    <mergeCell ref="I36:I42"/>
    <mergeCell ref="I43:I49"/>
    <mergeCell ref="I50:I56"/>
    <mergeCell ref="I57:I63"/>
    <mergeCell ref="B85:B91"/>
    <mergeCell ref="B36:B42"/>
    <mergeCell ref="B43:B49"/>
    <mergeCell ref="B50:B56"/>
    <mergeCell ref="B57:B63"/>
    <mergeCell ref="B71:B77"/>
    <mergeCell ref="B64:B70"/>
    <mergeCell ref="R78:R84"/>
    <mergeCell ref="Y78:Y84"/>
    <mergeCell ref="B15:B21"/>
    <mergeCell ref="B22:B28"/>
    <mergeCell ref="B29:B35"/>
    <mergeCell ref="I15:I21"/>
    <mergeCell ref="I22:I28"/>
    <mergeCell ref="I29:I35"/>
    <mergeCell ref="B78:B84"/>
    <mergeCell ref="I71:I77"/>
    <mergeCell ref="I78:I84"/>
    <mergeCell ref="E1:F1"/>
    <mergeCell ref="T1:U1"/>
    <mergeCell ref="AL14:AO14"/>
    <mergeCell ref="Y50:Y56"/>
    <mergeCell ref="B92:B98"/>
    <mergeCell ref="I92:I98"/>
    <mergeCell ref="R92:R98"/>
    <mergeCell ref="Y92:Y98"/>
    <mergeCell ref="R57:R63"/>
    <mergeCell ref="Y57:Y63"/>
    <mergeCell ref="R64:R70"/>
    <mergeCell ref="Y64:Y70"/>
    <mergeCell ref="R85:R91"/>
    <mergeCell ref="Y85:Y91"/>
    <mergeCell ref="R71:R77"/>
    <mergeCell ref="Y71:Y77"/>
  </mergeCells>
  <phoneticPr fontId="2" type="noConversion"/>
  <conditionalFormatting sqref="U15:U98 AB15:AB98">
    <cfRule type="cellIs" priority="14" stopIfTrue="1" operator="equal">
      <formula>"zero"</formula>
    </cfRule>
  </conditionalFormatting>
  <conditionalFormatting sqref="N15:N98 G16:G21">
    <cfRule type="expression" dxfId="11" priority="12">
      <formula>_xlfn.ISFORMULA(G15)=FALSE</formula>
    </cfRule>
  </conditionalFormatting>
  <conditionalFormatting sqref="G23:G28">
    <cfRule type="expression" dxfId="10" priority="11">
      <formula>_xlfn.ISFORMULA(G23)=FALSE</formula>
    </cfRule>
  </conditionalFormatting>
  <conditionalFormatting sqref="G30:G35">
    <cfRule type="expression" dxfId="9" priority="10">
      <formula>_xlfn.ISFORMULA(G30)=FALSE</formula>
    </cfRule>
  </conditionalFormatting>
  <conditionalFormatting sqref="G37:G42">
    <cfRule type="expression" dxfId="8" priority="9">
      <formula>_xlfn.ISFORMULA(G37)=FALSE</formula>
    </cfRule>
  </conditionalFormatting>
  <conditionalFormatting sqref="G44:G49">
    <cfRule type="expression" dxfId="7" priority="8">
      <formula>_xlfn.ISFORMULA(G44)=FALSE</formula>
    </cfRule>
  </conditionalFormatting>
  <conditionalFormatting sqref="G51:G56">
    <cfRule type="expression" dxfId="6" priority="7">
      <formula>_xlfn.ISFORMULA(G51)=FALSE</formula>
    </cfRule>
  </conditionalFormatting>
  <conditionalFormatting sqref="G58:G63">
    <cfRule type="expression" dxfId="5" priority="6">
      <formula>_xlfn.ISFORMULA(G58)=FALSE</formula>
    </cfRule>
  </conditionalFormatting>
  <conditionalFormatting sqref="G65:G70">
    <cfRule type="expression" dxfId="4" priority="5">
      <formula>_xlfn.ISFORMULA(G65)=FALSE</formula>
    </cfRule>
  </conditionalFormatting>
  <conditionalFormatting sqref="G72:G77">
    <cfRule type="expression" dxfId="3" priority="4">
      <formula>_xlfn.ISFORMULA(G72)=FALSE</formula>
    </cfRule>
  </conditionalFormatting>
  <conditionalFormatting sqref="G79:G84">
    <cfRule type="expression" dxfId="2" priority="3">
      <formula>_xlfn.ISFORMULA(G79)=FALSE</formula>
    </cfRule>
  </conditionalFormatting>
  <conditionalFormatting sqref="G86:G91">
    <cfRule type="expression" dxfId="1" priority="2">
      <formula>_xlfn.ISFORMULA(G86)=FALSE</formula>
    </cfRule>
  </conditionalFormatting>
  <conditionalFormatting sqref="G15:G98">
    <cfRule type="expression" dxfId="0" priority="1">
      <formula>_xlfn.ISFORMULA(G15)=FALSE</formula>
    </cfRule>
  </conditionalFormatting>
  <pageMargins left="0.7" right="0.7" top="0.75" bottom="0.75" header="0.3" footer="0.3"/>
  <pageSetup scale="34" orientation="landscape" r:id="rId1"/>
  <headerFooter>
    <oddFooter>&amp;L&amp;"-,Regular"&amp;8Ver. 1.0
&amp;F
&amp;Z&amp;F&amp;C&amp;"-,Regular"North Dakota NRCS IWM Certification Form   
IWM Evaluation&amp;"Arial,Regular"
&amp;R&amp;"-,Regular"&amp;8&amp;D
&amp;T</oddFooter>
  </headerFooter>
  <rowBreaks count="1" manualBreakCount="1">
    <brk id="101" max="35" man="1"/>
  </rowBreaks>
  <colBreaks count="1" manualBreakCount="1">
    <brk id="16" max="99"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pageSetUpPr fitToPage="1"/>
  </sheetPr>
  <dimension ref="A1:Q64"/>
  <sheetViews>
    <sheetView zoomScale="89" zoomScaleNormal="89" workbookViewId="0">
      <selection activeCell="B20" sqref="B20"/>
    </sheetView>
  </sheetViews>
  <sheetFormatPr defaultColWidth="8.85546875" defaultRowHeight="12.75" x14ac:dyDescent="0.2"/>
  <cols>
    <col min="1" max="1" width="95.7109375" style="53" customWidth="1"/>
    <col min="2" max="2" width="22.28515625" style="53" customWidth="1"/>
    <col min="3" max="3" width="23.140625" style="53" customWidth="1"/>
    <col min="4" max="4" width="15" style="53" customWidth="1"/>
    <col min="5" max="16384" width="8.85546875" style="53"/>
  </cols>
  <sheetData>
    <row r="1" spans="1:17" ht="23.25" x14ac:dyDescent="0.35">
      <c r="A1" s="563" t="s">
        <v>74</v>
      </c>
      <c r="B1" s="563"/>
      <c r="C1" s="563"/>
      <c r="I1" s="293"/>
      <c r="Q1" s="194"/>
    </row>
    <row r="2" spans="1:17" x14ac:dyDescent="0.2">
      <c r="I2" s="293"/>
      <c r="Q2" s="194"/>
    </row>
    <row r="3" spans="1:17" ht="15.75" x14ac:dyDescent="0.25">
      <c r="A3" s="227" t="s">
        <v>10</v>
      </c>
      <c r="B3" s="57">
        <f>+'IWM Evaluation'!D3</f>
        <v>0</v>
      </c>
      <c r="L3" s="236"/>
      <c r="M3" s="56"/>
      <c r="Q3" s="194"/>
    </row>
    <row r="4" spans="1:17" ht="15.75" x14ac:dyDescent="0.25">
      <c r="A4" s="227" t="s">
        <v>239</v>
      </c>
      <c r="B4" s="294">
        <f>'General Information'!C16</f>
        <v>0</v>
      </c>
      <c r="L4" s="236"/>
      <c r="M4" s="56"/>
      <c r="Q4" s="194"/>
    </row>
    <row r="5" spans="1:17" ht="15.75" x14ac:dyDescent="0.25">
      <c r="A5" s="227" t="s">
        <v>51</v>
      </c>
      <c r="B5" s="57">
        <f>+'IWM Evaluation'!H4</f>
        <v>0</v>
      </c>
      <c r="H5" s="236"/>
      <c r="I5" s="56"/>
      <c r="L5" s="236"/>
      <c r="M5" s="56"/>
      <c r="Q5" s="194"/>
    </row>
    <row r="6" spans="1:17" ht="15.75" x14ac:dyDescent="0.25">
      <c r="A6" s="227" t="s">
        <v>5</v>
      </c>
      <c r="B6" s="57">
        <f>+'IWM Evaluation'!D5</f>
        <v>0</v>
      </c>
      <c r="E6" s="161"/>
      <c r="G6" s="295"/>
      <c r="Q6" s="194"/>
    </row>
    <row r="7" spans="1:17" ht="15.75" x14ac:dyDescent="0.25">
      <c r="A7" s="227" t="s">
        <v>178</v>
      </c>
      <c r="B7" s="57">
        <f>+'IWM Evaluation'!D6</f>
        <v>0</v>
      </c>
      <c r="I7" s="293"/>
      <c r="Q7" s="194"/>
    </row>
    <row r="8" spans="1:17" x14ac:dyDescent="0.2">
      <c r="I8" s="293"/>
      <c r="Q8" s="194"/>
    </row>
    <row r="9" spans="1:17" ht="15.75" x14ac:dyDescent="0.25">
      <c r="A9" s="227" t="s">
        <v>54</v>
      </c>
      <c r="B9" s="296">
        <f>+'IWM Evaluation'!D100+'IWM Evaluation'!K100-'IWM Evaluation'!E100-'IWM Evaluation'!L100</f>
        <v>0</v>
      </c>
      <c r="C9" s="174" t="s">
        <v>9</v>
      </c>
      <c r="I9" s="293"/>
      <c r="J9" s="236"/>
      <c r="K9" s="297"/>
      <c r="L9" s="56"/>
      <c r="Q9" s="194"/>
    </row>
    <row r="10" spans="1:17" ht="15.75" x14ac:dyDescent="0.25">
      <c r="A10" s="227" t="s">
        <v>55</v>
      </c>
      <c r="B10" s="296">
        <f>+'IWM Evaluation'!M100+'IWM Evaluation'!F100</f>
        <v>0</v>
      </c>
      <c r="C10" s="174"/>
      <c r="I10" s="293"/>
      <c r="J10" s="236"/>
      <c r="K10" s="297"/>
      <c r="L10" s="56"/>
      <c r="Q10" s="194"/>
    </row>
    <row r="11" spans="1:17" ht="15.75" x14ac:dyDescent="0.25">
      <c r="A11" s="227" t="s">
        <v>35</v>
      </c>
      <c r="B11" s="121">
        <f>IF(_xlfn.ISFORMULA('General Information'!C25)=TRUE,'Net Irrigation Calculator'!T56,'General Information'!C25)</f>
        <v>0</v>
      </c>
      <c r="C11" s="174" t="s">
        <v>34</v>
      </c>
      <c r="I11" s="293"/>
      <c r="J11" s="236"/>
      <c r="K11" s="297"/>
      <c r="L11" s="56"/>
      <c r="Q11" s="194"/>
    </row>
    <row r="12" spans="1:17" ht="15.75" x14ac:dyDescent="0.25">
      <c r="A12" s="227" t="s">
        <v>36</v>
      </c>
      <c r="B12" s="468">
        <f>IF(_xlfn.ISFORMULA('General Information'!C26)=TRUE,'Net Irrigation Calculator'!T61,'General Information'!C26)</f>
        <v>0</v>
      </c>
      <c r="C12" s="174" t="s">
        <v>34</v>
      </c>
      <c r="I12" s="293"/>
      <c r="J12" s="236"/>
      <c r="K12" s="297"/>
      <c r="L12" s="56"/>
      <c r="Q12" s="194"/>
    </row>
    <row r="13" spans="1:17" ht="15.75" x14ac:dyDescent="0.25">
      <c r="A13" s="238" t="s">
        <v>56</v>
      </c>
      <c r="B13" s="130">
        <f>+B12-B11</f>
        <v>0</v>
      </c>
      <c r="C13" s="38" t="s">
        <v>52</v>
      </c>
      <c r="D13" s="298"/>
      <c r="Q13" s="194"/>
    </row>
    <row r="14" spans="1:17" ht="15.75" x14ac:dyDescent="0.25">
      <c r="A14" s="238" t="s">
        <v>179</v>
      </c>
      <c r="B14" s="272" t="str">
        <f>IF(B7&gt;0,(+B13/B7)*12,"")</f>
        <v/>
      </c>
      <c r="C14" s="38" t="s">
        <v>9</v>
      </c>
      <c r="I14" s="293"/>
      <c r="Q14" s="194"/>
    </row>
    <row r="15" spans="1:17" ht="15.75" x14ac:dyDescent="0.25">
      <c r="A15" s="38"/>
      <c r="B15" s="34"/>
      <c r="C15" s="34"/>
      <c r="D15" s="34"/>
      <c r="E15" s="34"/>
      <c r="H15" s="34"/>
      <c r="I15" s="34"/>
      <c r="J15" s="34"/>
      <c r="K15" s="34"/>
      <c r="L15" s="34"/>
      <c r="M15" s="34"/>
      <c r="N15" s="34"/>
      <c r="O15" s="34"/>
      <c r="P15" s="34"/>
      <c r="Q15" s="194"/>
    </row>
    <row r="16" spans="1:17" ht="15.75" x14ac:dyDescent="0.25">
      <c r="A16" s="227" t="s">
        <v>53</v>
      </c>
      <c r="B16" s="299" t="str">
        <f>IF(B9&gt;0,+B9/B14,"")</f>
        <v/>
      </c>
      <c r="C16" s="174"/>
      <c r="D16" s="174"/>
      <c r="E16" s="174"/>
      <c r="G16" s="56"/>
      <c r="H16" s="56"/>
      <c r="I16" s="300"/>
      <c r="J16" s="56"/>
      <c r="K16" s="56"/>
      <c r="L16" s="56"/>
      <c r="M16" s="56"/>
      <c r="N16" s="56"/>
      <c r="O16" s="56"/>
      <c r="P16" s="56"/>
      <c r="Q16" s="301"/>
    </row>
    <row r="17" spans="1:17" ht="15.75" x14ac:dyDescent="0.25">
      <c r="A17" s="227" t="s">
        <v>162</v>
      </c>
      <c r="B17" s="302" t="str">
        <f>IF(B16="","",+B16/('General Information'!C8/100)*100)</f>
        <v/>
      </c>
      <c r="C17" s="174" t="s">
        <v>161</v>
      </c>
      <c r="D17" s="174"/>
      <c r="E17" s="174"/>
      <c r="J17" s="300"/>
      <c r="L17" s="56"/>
      <c r="P17" s="56"/>
      <c r="Q17" s="56"/>
    </row>
    <row r="18" spans="1:17" ht="15.75" x14ac:dyDescent="0.25">
      <c r="A18" s="174"/>
      <c r="B18" s="174"/>
      <c r="C18" s="174"/>
      <c r="D18" s="174"/>
      <c r="E18" s="174"/>
      <c r="F18" s="174"/>
      <c r="G18" s="56"/>
      <c r="H18" s="56"/>
      <c r="I18" s="300"/>
      <c r="J18" s="303"/>
      <c r="K18" s="56"/>
      <c r="L18" s="56"/>
      <c r="M18" s="56"/>
      <c r="N18" s="56"/>
      <c r="O18" s="56"/>
      <c r="P18" s="56"/>
      <c r="Q18" s="301"/>
    </row>
    <row r="19" spans="1:17" ht="15.75" x14ac:dyDescent="0.25">
      <c r="A19" s="174"/>
      <c r="B19" s="174"/>
      <c r="C19" s="174"/>
      <c r="D19" s="174"/>
      <c r="E19" s="174"/>
      <c r="F19" s="174"/>
      <c r="G19" s="56"/>
      <c r="H19" s="56"/>
      <c r="I19" s="300"/>
      <c r="J19" s="56"/>
      <c r="K19" s="56"/>
      <c r="L19" s="56"/>
      <c r="M19" s="56"/>
      <c r="N19" s="56"/>
      <c r="O19" s="56"/>
      <c r="P19" s="56"/>
      <c r="Q19" s="301"/>
    </row>
    <row r="20" spans="1:17" ht="15.75" x14ac:dyDescent="0.25">
      <c r="A20" s="227" t="s">
        <v>63</v>
      </c>
      <c r="B20" s="512">
        <f>+'IWM Evaluation'!V100+'IWM Evaluation'!AC100</f>
        <v>0</v>
      </c>
      <c r="C20" s="174" t="s">
        <v>9</v>
      </c>
      <c r="F20" s="209"/>
      <c r="G20" s="56"/>
      <c r="H20" s="56"/>
      <c r="I20" s="300"/>
      <c r="J20" s="56"/>
      <c r="K20" s="56"/>
      <c r="L20" s="56"/>
      <c r="M20" s="56"/>
    </row>
    <row r="21" spans="1:17" ht="15.75" x14ac:dyDescent="0.25">
      <c r="A21" s="227" t="s">
        <v>237</v>
      </c>
      <c r="B21" s="296">
        <f>+B10-B20</f>
        <v>0</v>
      </c>
      <c r="C21" s="174" t="s">
        <v>9</v>
      </c>
      <c r="F21" s="209"/>
      <c r="G21" s="56"/>
      <c r="H21" s="56"/>
      <c r="I21" s="300"/>
      <c r="J21" s="56"/>
      <c r="K21" s="56"/>
      <c r="L21" s="56"/>
      <c r="M21" s="56"/>
    </row>
    <row r="22" spans="1:17" ht="15.75" x14ac:dyDescent="0.25">
      <c r="A22" s="227" t="s">
        <v>64</v>
      </c>
      <c r="B22" s="121">
        <f>IF(B21&gt;0,(+B14-B21)/12*B7,0)</f>
        <v>0</v>
      </c>
      <c r="C22" s="174" t="s">
        <v>52</v>
      </c>
      <c r="F22" s="209"/>
      <c r="G22" s="56"/>
      <c r="H22" s="56"/>
      <c r="I22" s="300"/>
      <c r="J22" s="56"/>
      <c r="K22" s="56"/>
      <c r="L22" s="56"/>
      <c r="M22" s="56"/>
    </row>
    <row r="23" spans="1:17" ht="15.75" x14ac:dyDescent="0.25">
      <c r="A23" s="227" t="s">
        <v>65</v>
      </c>
      <c r="B23" s="121">
        <f>IF(B22&gt;0,+B13-B22,0)</f>
        <v>0</v>
      </c>
      <c r="C23" s="174" t="s">
        <v>52</v>
      </c>
      <c r="F23" s="209"/>
      <c r="G23" s="56"/>
      <c r="H23" s="56"/>
      <c r="I23" s="300"/>
      <c r="J23" s="56"/>
      <c r="K23" s="56"/>
      <c r="L23" s="56"/>
      <c r="M23" s="56"/>
    </row>
    <row r="24" spans="1:17" ht="15.75" x14ac:dyDescent="0.25">
      <c r="A24" s="227" t="s">
        <v>75</v>
      </c>
      <c r="B24" s="57">
        <f>+'IWM Evaluation'!D7</f>
        <v>0</v>
      </c>
      <c r="C24" s="174" t="s">
        <v>66</v>
      </c>
      <c r="F24" s="209"/>
      <c r="G24" s="56"/>
      <c r="H24" s="56"/>
      <c r="I24" s="300"/>
      <c r="J24" s="56"/>
      <c r="K24" s="56"/>
      <c r="L24" s="56"/>
      <c r="M24" s="56"/>
    </row>
    <row r="25" spans="1:17" ht="15.75" x14ac:dyDescent="0.25">
      <c r="A25" s="227" t="s">
        <v>67</v>
      </c>
      <c r="B25" s="121">
        <f>+B24/448.8*1.983</f>
        <v>0</v>
      </c>
      <c r="C25" s="174" t="s">
        <v>181</v>
      </c>
      <c r="F25" s="209"/>
      <c r="G25" s="56"/>
      <c r="H25" s="56"/>
      <c r="I25" s="300"/>
      <c r="J25" s="56"/>
      <c r="K25" s="56"/>
      <c r="L25" s="56"/>
      <c r="M25" s="56"/>
    </row>
    <row r="26" spans="1:17" ht="15.75" x14ac:dyDescent="0.25">
      <c r="A26" s="227" t="s">
        <v>69</v>
      </c>
      <c r="B26" s="296" t="str">
        <f>IF(B23&gt;0,+B23/B25,"")</f>
        <v/>
      </c>
      <c r="C26" s="174" t="s">
        <v>68</v>
      </c>
      <c r="F26" s="209"/>
      <c r="G26" s="56"/>
      <c r="H26" s="56"/>
      <c r="I26" s="300"/>
      <c r="J26" s="56"/>
      <c r="K26" s="56"/>
      <c r="L26" s="56"/>
      <c r="M26" s="56"/>
    </row>
    <row r="27" spans="1:17" ht="15.75" x14ac:dyDescent="0.25">
      <c r="A27" s="227" t="s">
        <v>111</v>
      </c>
      <c r="B27" s="57">
        <f>+'General Information'!C11</f>
        <v>0</v>
      </c>
      <c r="C27" s="174" t="s">
        <v>113</v>
      </c>
      <c r="F27" s="209"/>
      <c r="G27" s="56"/>
      <c r="H27" s="56"/>
      <c r="I27" s="300"/>
      <c r="J27" s="56"/>
      <c r="K27" s="56"/>
      <c r="L27" s="56"/>
      <c r="M27" s="56"/>
    </row>
    <row r="28" spans="1:17" ht="15.75" x14ac:dyDescent="0.25">
      <c r="A28" s="227" t="s">
        <v>112</v>
      </c>
      <c r="B28" s="296">
        <f>+B27*0.746</f>
        <v>0</v>
      </c>
      <c r="C28" s="174" t="s">
        <v>78</v>
      </c>
      <c r="F28" s="209"/>
      <c r="G28" s="56"/>
      <c r="H28" s="56"/>
      <c r="I28" s="300"/>
      <c r="J28" s="56"/>
      <c r="K28" s="56"/>
      <c r="L28" s="56"/>
      <c r="M28" s="56"/>
    </row>
    <row r="29" spans="1:17" ht="15.75" x14ac:dyDescent="0.25">
      <c r="A29" s="227" t="s">
        <v>70</v>
      </c>
      <c r="B29" s="121" t="str">
        <f>IF(AND(B30&gt;0,B26&lt;&gt;""),+B28*B26,"")</f>
        <v/>
      </c>
      <c r="C29" s="174" t="s">
        <v>79</v>
      </c>
      <c r="F29" s="209"/>
      <c r="G29" s="56"/>
      <c r="H29" s="56"/>
      <c r="I29" s="300"/>
      <c r="J29" s="56"/>
      <c r="K29" s="56"/>
      <c r="L29" s="56"/>
      <c r="M29" s="56"/>
    </row>
    <row r="30" spans="1:17" ht="15.75" x14ac:dyDescent="0.25">
      <c r="A30" s="227" t="s">
        <v>71</v>
      </c>
      <c r="B30" s="467">
        <f>'General Information'!C13</f>
        <v>0</v>
      </c>
      <c r="C30" s="174" t="s">
        <v>77</v>
      </c>
      <c r="F30" s="209"/>
      <c r="G30" s="56"/>
      <c r="H30" s="56"/>
      <c r="I30" s="300"/>
      <c r="J30" s="56"/>
      <c r="K30" s="56"/>
      <c r="L30" s="56"/>
      <c r="M30" s="56"/>
    </row>
    <row r="31" spans="1:17" ht="15.75" x14ac:dyDescent="0.25">
      <c r="A31" s="227" t="s">
        <v>82</v>
      </c>
      <c r="B31" s="466" t="str">
        <f>IF(AND(B30&gt;0,B29&lt;&gt;""),+B29*B30*24,"")</f>
        <v/>
      </c>
      <c r="C31" s="174" t="s">
        <v>80</v>
      </c>
      <c r="D31" s="34"/>
      <c r="E31" s="34"/>
      <c r="F31" s="209"/>
      <c r="G31" s="151"/>
      <c r="H31" s="151"/>
      <c r="I31" s="301"/>
      <c r="J31" s="151"/>
      <c r="K31" s="151"/>
      <c r="L31" s="151"/>
      <c r="M31" s="151"/>
      <c r="N31" s="34"/>
      <c r="O31" s="34"/>
      <c r="P31" s="34"/>
      <c r="Q31" s="34"/>
    </row>
    <row r="32" spans="1:17" ht="15.75" x14ac:dyDescent="0.25">
      <c r="A32" s="174"/>
      <c r="B32" s="174"/>
      <c r="C32" s="174"/>
      <c r="D32" s="38"/>
      <c r="E32" s="38"/>
      <c r="F32" s="38"/>
      <c r="G32" s="151"/>
      <c r="H32" s="151"/>
      <c r="I32" s="301"/>
      <c r="J32" s="151"/>
      <c r="K32" s="151"/>
      <c r="L32" s="151"/>
      <c r="M32" s="151"/>
      <c r="N32" s="151"/>
      <c r="O32" s="151"/>
      <c r="P32" s="151"/>
      <c r="Q32" s="301"/>
    </row>
    <row r="33" spans="1:17" ht="15.75" x14ac:dyDescent="0.25">
      <c r="A33" s="304" t="s">
        <v>76</v>
      </c>
      <c r="B33" s="305"/>
      <c r="C33" s="306"/>
      <c r="D33" s="38"/>
      <c r="E33" s="38"/>
      <c r="F33" s="38"/>
      <c r="G33" s="151"/>
      <c r="H33" s="151"/>
      <c r="I33" s="301"/>
      <c r="J33" s="151"/>
      <c r="K33" s="151"/>
      <c r="L33" s="151"/>
      <c r="M33" s="151"/>
      <c r="N33" s="151"/>
      <c r="O33" s="151"/>
      <c r="P33" s="151"/>
      <c r="Q33" s="151"/>
    </row>
    <row r="34" spans="1:17" ht="15.75" x14ac:dyDescent="0.25">
      <c r="A34" s="307" t="s">
        <v>72</v>
      </c>
      <c r="B34" s="308"/>
      <c r="C34" s="309"/>
      <c r="D34" s="38"/>
      <c r="E34" s="38"/>
      <c r="F34" s="38"/>
      <c r="G34" s="151"/>
      <c r="H34" s="151"/>
      <c r="I34" s="151"/>
      <c r="J34" s="151"/>
      <c r="K34" s="151"/>
      <c r="L34" s="151"/>
      <c r="M34" s="151"/>
      <c r="N34" s="151"/>
      <c r="O34" s="151"/>
      <c r="P34" s="151"/>
      <c r="Q34" s="151"/>
    </row>
    <row r="35" spans="1:17" x14ac:dyDescent="0.2">
      <c r="D35" s="34"/>
      <c r="E35" s="34"/>
      <c r="F35" s="34"/>
      <c r="G35" s="34"/>
      <c r="H35" s="34"/>
      <c r="I35" s="34"/>
      <c r="J35" s="34"/>
      <c r="K35" s="34"/>
      <c r="L35" s="34"/>
      <c r="M35" s="34"/>
      <c r="N35" s="34"/>
      <c r="O35" s="34"/>
      <c r="P35" s="34"/>
      <c r="Q35" s="34"/>
    </row>
    <row r="36" spans="1:17" ht="15.75" x14ac:dyDescent="0.25">
      <c r="Q36" s="301"/>
    </row>
    <row r="37" spans="1:17" ht="15.75" x14ac:dyDescent="0.25">
      <c r="Q37" s="301"/>
    </row>
    <row r="38" spans="1:17" ht="15.75" x14ac:dyDescent="0.25">
      <c r="A38" s="56" t="s">
        <v>58</v>
      </c>
      <c r="C38" s="56"/>
      <c r="D38" s="56"/>
      <c r="E38" s="56"/>
      <c r="F38" s="56"/>
      <c r="G38" s="56"/>
      <c r="H38" s="56"/>
      <c r="I38" s="300"/>
      <c r="J38" s="56"/>
      <c r="K38" s="56"/>
      <c r="L38" s="56"/>
      <c r="M38" s="56"/>
      <c r="N38" s="56"/>
      <c r="O38" s="56"/>
      <c r="P38" s="56"/>
    </row>
    <row r="39" spans="1:17" ht="15.75" x14ac:dyDescent="0.25">
      <c r="A39" s="56" t="s">
        <v>57</v>
      </c>
      <c r="C39" s="56"/>
      <c r="D39" s="56"/>
      <c r="E39" s="56"/>
      <c r="F39" s="56"/>
      <c r="G39" s="56"/>
      <c r="H39" s="56"/>
      <c r="I39" s="300"/>
      <c r="J39" s="56"/>
      <c r="K39" s="56"/>
      <c r="L39" s="56"/>
      <c r="M39" s="56"/>
      <c r="N39" s="56"/>
      <c r="O39" s="56"/>
      <c r="P39" s="56"/>
    </row>
    <row r="40" spans="1:17" ht="15.75" x14ac:dyDescent="0.25">
      <c r="A40" s="56"/>
      <c r="C40" s="56"/>
      <c r="D40" s="56"/>
      <c r="E40" s="56"/>
      <c r="F40" s="56"/>
      <c r="G40" s="56"/>
      <c r="H40" s="56"/>
      <c r="I40" s="300"/>
      <c r="J40" s="56"/>
      <c r="K40" s="56"/>
      <c r="L40" s="56"/>
      <c r="M40" s="56"/>
      <c r="N40" s="56"/>
      <c r="O40" s="56"/>
      <c r="P40" s="56"/>
    </row>
    <row r="41" spans="1:17" ht="15.75" x14ac:dyDescent="0.25">
      <c r="A41" s="310" t="s">
        <v>163</v>
      </c>
      <c r="C41" s="56"/>
      <c r="D41" s="56"/>
      <c r="E41" s="56"/>
      <c r="F41" s="56"/>
      <c r="G41" s="56"/>
      <c r="H41" s="56"/>
      <c r="I41" s="300"/>
      <c r="J41" s="56"/>
      <c r="K41" s="56"/>
      <c r="L41" s="56"/>
      <c r="M41" s="56"/>
      <c r="N41" s="56"/>
      <c r="O41" s="56"/>
      <c r="P41" s="56"/>
    </row>
    <row r="42" spans="1:17" x14ac:dyDescent="0.2">
      <c r="A42" s="444"/>
    </row>
    <row r="43" spans="1:17" x14ac:dyDescent="0.2">
      <c r="A43" s="445"/>
    </row>
    <row r="44" spans="1:17" x14ac:dyDescent="0.2">
      <c r="A44" s="444"/>
      <c r="C44" s="34"/>
      <c r="D44" s="34"/>
      <c r="E44" s="34"/>
      <c r="F44" s="34"/>
      <c r="G44" s="34"/>
      <c r="H44" s="34"/>
      <c r="I44" s="34"/>
      <c r="J44" s="34"/>
      <c r="K44" s="34"/>
      <c r="L44" s="34"/>
      <c r="M44" s="34"/>
      <c r="N44" s="34"/>
      <c r="O44" s="34"/>
    </row>
    <row r="45" spans="1:17" x14ac:dyDescent="0.2">
      <c r="A45" s="445"/>
      <c r="C45" s="34"/>
      <c r="D45" s="34"/>
      <c r="E45" s="34"/>
      <c r="F45" s="34"/>
      <c r="G45" s="34"/>
      <c r="H45" s="34"/>
      <c r="I45" s="34"/>
      <c r="J45" s="34"/>
      <c r="K45" s="34"/>
      <c r="L45" s="34"/>
      <c r="M45" s="34"/>
      <c r="N45" s="34"/>
      <c r="O45" s="34"/>
    </row>
    <row r="46" spans="1:17" x14ac:dyDescent="0.2">
      <c r="A46" s="444"/>
      <c r="C46" s="34"/>
      <c r="D46" s="34"/>
      <c r="E46" s="34"/>
      <c r="F46" s="34"/>
      <c r="G46" s="34"/>
      <c r="H46" s="34"/>
      <c r="I46" s="34"/>
      <c r="J46" s="34"/>
      <c r="K46" s="34"/>
      <c r="L46" s="34"/>
      <c r="M46" s="34"/>
      <c r="N46" s="34"/>
      <c r="O46" s="34"/>
    </row>
    <row r="47" spans="1:17" x14ac:dyDescent="0.2">
      <c r="A47" s="445"/>
      <c r="C47" s="34"/>
      <c r="D47" s="34"/>
      <c r="E47" s="34"/>
      <c r="F47" s="34"/>
      <c r="G47" s="34"/>
      <c r="H47" s="34"/>
      <c r="I47" s="194"/>
      <c r="J47" s="34"/>
      <c r="K47" s="34"/>
      <c r="L47" s="34"/>
      <c r="M47" s="34"/>
      <c r="N47" s="34"/>
      <c r="O47" s="34"/>
    </row>
    <row r="48" spans="1:17" x14ac:dyDescent="0.2">
      <c r="A48" s="444"/>
      <c r="C48" s="34"/>
      <c r="D48" s="34"/>
      <c r="E48" s="34"/>
      <c r="F48" s="34"/>
      <c r="G48" s="34"/>
      <c r="H48" s="34"/>
      <c r="I48" s="194"/>
      <c r="J48" s="34"/>
      <c r="K48" s="34"/>
      <c r="L48" s="34"/>
      <c r="M48" s="34"/>
      <c r="N48" s="34"/>
      <c r="O48" s="34"/>
    </row>
    <row r="49" spans="1:16" x14ac:dyDescent="0.2">
      <c r="A49" s="445"/>
      <c r="C49" s="34"/>
      <c r="D49" s="34"/>
      <c r="E49" s="34"/>
      <c r="F49" s="34"/>
      <c r="G49" s="34"/>
      <c r="H49" s="34"/>
      <c r="I49" s="194"/>
      <c r="J49" s="34"/>
      <c r="K49" s="34"/>
      <c r="L49" s="34"/>
      <c r="M49" s="34"/>
      <c r="N49" s="34"/>
      <c r="O49" s="34"/>
    </row>
    <row r="50" spans="1:16" x14ac:dyDescent="0.2">
      <c r="C50" s="34"/>
      <c r="D50" s="34"/>
      <c r="E50" s="34"/>
      <c r="F50" s="34"/>
      <c r="G50" s="34"/>
      <c r="H50" s="34"/>
      <c r="I50" s="194"/>
      <c r="J50" s="34"/>
      <c r="K50" s="34"/>
      <c r="L50" s="34"/>
      <c r="M50" s="34"/>
      <c r="N50" s="34"/>
      <c r="O50" s="34"/>
    </row>
    <row r="51" spans="1:16" x14ac:dyDescent="0.2">
      <c r="C51" s="34"/>
      <c r="D51" s="34"/>
      <c r="E51" s="34"/>
      <c r="F51" s="34"/>
      <c r="G51" s="34"/>
      <c r="H51" s="34"/>
      <c r="I51" s="34"/>
      <c r="J51" s="34"/>
      <c r="K51" s="34"/>
      <c r="L51" s="34"/>
      <c r="M51" s="34"/>
      <c r="N51" s="34"/>
      <c r="O51" s="34"/>
    </row>
    <row r="53" spans="1:16" ht="46.9" customHeight="1" x14ac:dyDescent="0.25">
      <c r="A53" s="564" t="s">
        <v>238</v>
      </c>
      <c r="B53" s="564"/>
      <c r="C53" s="564"/>
      <c r="D53" s="56"/>
      <c r="E53" s="56"/>
      <c r="F53" s="56"/>
      <c r="G53" s="56"/>
      <c r="H53" s="56"/>
      <c r="I53" s="300"/>
      <c r="J53" s="56"/>
      <c r="K53" s="56"/>
      <c r="L53" s="56"/>
      <c r="M53" s="56"/>
      <c r="N53" s="56"/>
      <c r="O53" s="56"/>
      <c r="P53" s="56"/>
    </row>
    <row r="54" spans="1:16" ht="15.75" x14ac:dyDescent="0.25">
      <c r="A54" s="56"/>
      <c r="C54" s="56"/>
      <c r="D54" s="56"/>
      <c r="E54" s="56"/>
      <c r="F54" s="56"/>
      <c r="G54" s="56"/>
      <c r="H54" s="56"/>
      <c r="I54" s="300"/>
      <c r="J54" s="56"/>
      <c r="K54" s="56"/>
      <c r="L54" s="56"/>
      <c r="M54" s="56"/>
      <c r="N54" s="56"/>
      <c r="O54" s="56"/>
      <c r="P54" s="56"/>
    </row>
    <row r="55" spans="1:16" ht="15.75" x14ac:dyDescent="0.25">
      <c r="A55" s="56"/>
      <c r="N55" s="56"/>
      <c r="O55" s="56"/>
      <c r="P55" s="56"/>
    </row>
    <row r="56" spans="1:16" ht="15.75" x14ac:dyDescent="0.25">
      <c r="A56" s="311" t="s">
        <v>10</v>
      </c>
      <c r="B56" s="236" t="s">
        <v>59</v>
      </c>
      <c r="C56" s="312"/>
      <c r="D56" s="151"/>
      <c r="E56" s="151"/>
      <c r="F56" s="151"/>
      <c r="G56" s="151"/>
      <c r="H56" s="301"/>
      <c r="N56" s="56"/>
      <c r="O56" s="56"/>
      <c r="P56" s="56"/>
    </row>
    <row r="57" spans="1:16" ht="15.75" x14ac:dyDescent="0.25">
      <c r="A57" s="241"/>
      <c r="B57" s="56"/>
      <c r="C57" s="56"/>
      <c r="D57" s="151"/>
      <c r="E57" s="151"/>
      <c r="F57" s="151"/>
      <c r="G57" s="151"/>
      <c r="H57" s="301"/>
      <c r="N57" s="56"/>
      <c r="O57" s="56"/>
      <c r="P57" s="56"/>
    </row>
    <row r="58" spans="1:16" ht="15.75" x14ac:dyDescent="0.25">
      <c r="A58" s="311" t="s">
        <v>298</v>
      </c>
      <c r="B58" s="236" t="s">
        <v>59</v>
      </c>
      <c r="C58" s="312"/>
      <c r="D58" s="151"/>
      <c r="E58" s="151"/>
      <c r="F58" s="151"/>
      <c r="G58" s="151"/>
      <c r="H58" s="301"/>
      <c r="N58" s="56"/>
      <c r="O58" s="56"/>
      <c r="P58" s="56"/>
    </row>
    <row r="59" spans="1:16" ht="15.75" x14ac:dyDescent="0.25">
      <c r="A59" s="241"/>
      <c r="B59" s="236"/>
      <c r="C59" s="151"/>
      <c r="D59" s="151"/>
      <c r="E59" s="151"/>
      <c r="F59" s="151"/>
      <c r="G59" s="151"/>
      <c r="H59" s="301"/>
      <c r="N59" s="56"/>
      <c r="O59" s="56"/>
      <c r="P59" s="56"/>
    </row>
    <row r="60" spans="1:16" ht="15.75" x14ac:dyDescent="0.25">
      <c r="A60" s="311" t="s">
        <v>182</v>
      </c>
      <c r="B60" s="236"/>
      <c r="C60" s="56"/>
      <c r="D60" s="151"/>
      <c r="E60" s="151"/>
      <c r="F60" s="151"/>
      <c r="G60" s="151"/>
      <c r="H60" s="301"/>
      <c r="N60" s="56"/>
      <c r="O60" s="56"/>
      <c r="P60" s="56"/>
    </row>
    <row r="61" spans="1:16" ht="15.75" x14ac:dyDescent="0.25">
      <c r="A61" s="241"/>
      <c r="B61" s="236"/>
      <c r="C61" s="56"/>
      <c r="D61" s="151"/>
      <c r="E61" s="151"/>
      <c r="F61" s="151"/>
      <c r="G61" s="151"/>
      <c r="H61" s="301"/>
      <c r="N61" s="56"/>
      <c r="O61" s="56"/>
      <c r="P61" s="56"/>
    </row>
    <row r="62" spans="1:16" ht="15.75" x14ac:dyDescent="0.25">
      <c r="A62" s="311" t="s">
        <v>180</v>
      </c>
      <c r="B62" s="236" t="s">
        <v>59</v>
      </c>
      <c r="C62" s="312"/>
      <c r="D62" s="151"/>
      <c r="E62" s="151"/>
      <c r="F62" s="151"/>
      <c r="G62" s="151"/>
      <c r="H62" s="301"/>
    </row>
    <row r="63" spans="1:16" x14ac:dyDescent="0.2">
      <c r="A63" s="34"/>
      <c r="D63" s="34"/>
      <c r="E63" s="34"/>
      <c r="F63" s="34"/>
      <c r="G63" s="34"/>
      <c r="H63" s="34"/>
    </row>
    <row r="64" spans="1:16" x14ac:dyDescent="0.2">
      <c r="A64" s="34"/>
      <c r="B64" s="34"/>
      <c r="C64" s="34"/>
      <c r="D64" s="34"/>
      <c r="E64" s="34"/>
      <c r="F64" s="34"/>
      <c r="G64" s="34"/>
      <c r="H64" s="34"/>
    </row>
  </sheetData>
  <sheetProtection sheet="1" selectLockedCells="1"/>
  <mergeCells count="2">
    <mergeCell ref="A1:C1"/>
    <mergeCell ref="A53:C53"/>
  </mergeCells>
  <pageMargins left="0.7" right="0.7" top="0.75" bottom="0.75" header="0.3" footer="0.3"/>
  <pageSetup scale="62" orientation="portrait" r:id="rId1"/>
  <headerFooter>
    <oddFooter>&amp;L
&amp;"-,Regular"&amp;8
Ver. 1.0
&amp;F
&amp;Z&amp;F&amp;C&amp;"-,Regular"&amp;8North Dakota NRCS IWM Certification Form
Certification Page
&amp;R&amp;"-,Regular"&amp;8
&amp;D
&amp;T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M43"/>
  <sheetViews>
    <sheetView showGridLines="0" zoomScale="81" zoomScaleNormal="81" workbookViewId="0">
      <selection activeCell="I37" sqref="I37"/>
    </sheetView>
  </sheetViews>
  <sheetFormatPr defaultColWidth="8.85546875" defaultRowHeight="15.75" x14ac:dyDescent="0.25"/>
  <cols>
    <col min="1" max="1" width="2.28515625" style="29" customWidth="1"/>
    <col min="2" max="2" width="15.5703125" style="29" bestFit="1" customWidth="1"/>
    <col min="3" max="3" width="20.7109375" style="29" customWidth="1"/>
    <col min="4" max="4" width="25.140625" style="29" customWidth="1"/>
    <col min="5" max="5" width="8.42578125" style="29" customWidth="1"/>
    <col min="6" max="6" width="18.28515625" style="29" customWidth="1"/>
    <col min="7" max="7" width="8.85546875" style="29"/>
    <col min="8" max="8" width="8" style="29" customWidth="1"/>
    <col min="9" max="9" width="8.85546875" style="29"/>
    <col min="10" max="10" width="11.85546875" style="29" customWidth="1"/>
    <col min="11" max="11" width="14.5703125" style="29" customWidth="1"/>
    <col min="12" max="12" width="25.140625" style="29" customWidth="1"/>
    <col min="13" max="13" width="78.5703125" style="29" customWidth="1"/>
    <col min="14" max="16" width="8.85546875" style="29"/>
    <col min="17" max="17" width="17" style="29" customWidth="1"/>
    <col min="18" max="18" width="9.7109375" style="29" customWidth="1"/>
    <col min="19" max="16384" width="8.85546875" style="29"/>
  </cols>
  <sheetData>
    <row r="1" spans="1:13" x14ac:dyDescent="0.25">
      <c r="C1" s="29" t="s">
        <v>335</v>
      </c>
      <c r="F1" s="29" t="s">
        <v>168</v>
      </c>
      <c r="J1" s="29" t="s">
        <v>270</v>
      </c>
    </row>
    <row r="2" spans="1:13" x14ac:dyDescent="0.25">
      <c r="C2" s="39" t="s">
        <v>170</v>
      </c>
      <c r="F2" s="39" t="s">
        <v>60</v>
      </c>
      <c r="G2" s="35"/>
      <c r="J2" s="39" t="s">
        <v>127</v>
      </c>
      <c r="K2" s="39"/>
    </row>
    <row r="3" spans="1:13" x14ac:dyDescent="0.25">
      <c r="J3" s="39"/>
      <c r="K3" s="585" t="s">
        <v>262</v>
      </c>
      <c r="L3" s="29" t="b">
        <v>1</v>
      </c>
    </row>
    <row r="4" spans="1:13" ht="15.6" customHeight="1" x14ac:dyDescent="0.25">
      <c r="A4" s="33"/>
      <c r="C4" s="44" t="s">
        <v>15</v>
      </c>
      <c r="D4" s="44">
        <v>50</v>
      </c>
      <c r="F4" s="40" t="s">
        <v>15</v>
      </c>
      <c r="G4" s="41">
        <v>60</v>
      </c>
      <c r="H4" s="42" t="s">
        <v>9</v>
      </c>
      <c r="J4" s="39"/>
      <c r="K4" s="585"/>
    </row>
    <row r="5" spans="1:13" x14ac:dyDescent="0.25">
      <c r="A5" s="33"/>
      <c r="C5" s="44" t="s">
        <v>26</v>
      </c>
      <c r="D5" s="44">
        <v>40</v>
      </c>
      <c r="F5" s="40" t="s">
        <v>26</v>
      </c>
      <c r="G5" s="41">
        <v>36</v>
      </c>
      <c r="H5" s="42" t="s">
        <v>9</v>
      </c>
      <c r="J5" s="39"/>
      <c r="K5" s="585"/>
    </row>
    <row r="6" spans="1:13" x14ac:dyDescent="0.25">
      <c r="A6" s="33"/>
      <c r="C6" s="44" t="s">
        <v>16</v>
      </c>
      <c r="D6" s="44">
        <v>50</v>
      </c>
      <c r="F6" s="40" t="s">
        <v>16</v>
      </c>
      <c r="G6" s="41">
        <v>48</v>
      </c>
      <c r="H6" s="42" t="s">
        <v>9</v>
      </c>
      <c r="J6" s="39"/>
      <c r="K6" s="585"/>
      <c r="L6" s="29" t="b">
        <v>0</v>
      </c>
    </row>
    <row r="7" spans="1:13" x14ac:dyDescent="0.25">
      <c r="C7" s="44" t="s">
        <v>28</v>
      </c>
      <c r="D7" s="44">
        <v>35</v>
      </c>
      <c r="F7" s="40" t="s">
        <v>28</v>
      </c>
      <c r="G7" s="41">
        <v>24</v>
      </c>
      <c r="H7" s="42" t="s">
        <v>9</v>
      </c>
      <c r="J7" s="43" t="s">
        <v>128</v>
      </c>
      <c r="K7" s="586"/>
      <c r="L7" s="43" t="b">
        <v>1</v>
      </c>
      <c r="M7" s="43" t="s">
        <v>129</v>
      </c>
    </row>
    <row r="8" spans="1:13" x14ac:dyDescent="0.25">
      <c r="C8" s="44" t="s">
        <v>17</v>
      </c>
      <c r="D8" s="44">
        <v>50</v>
      </c>
      <c r="F8" s="40" t="s">
        <v>17</v>
      </c>
      <c r="G8" s="41">
        <v>36</v>
      </c>
      <c r="H8" s="42" t="s">
        <v>9</v>
      </c>
      <c r="J8" s="583" t="s">
        <v>15</v>
      </c>
      <c r="K8" s="574" t="s">
        <v>263</v>
      </c>
      <c r="L8" s="568" t="s">
        <v>130</v>
      </c>
      <c r="M8" s="580" t="s">
        <v>257</v>
      </c>
    </row>
    <row r="9" spans="1:13" x14ac:dyDescent="0.25">
      <c r="C9" s="48" t="s">
        <v>81</v>
      </c>
      <c r="D9" s="44">
        <v>40</v>
      </c>
      <c r="F9" s="46" t="s">
        <v>81</v>
      </c>
      <c r="G9" s="41">
        <v>12</v>
      </c>
      <c r="H9" s="42" t="s">
        <v>9</v>
      </c>
      <c r="J9" s="584"/>
      <c r="K9" s="575"/>
      <c r="L9" s="569" t="b">
        <v>1</v>
      </c>
      <c r="M9" s="581"/>
    </row>
    <row r="10" spans="1:13" x14ac:dyDescent="0.25">
      <c r="C10" s="44" t="s">
        <v>18</v>
      </c>
      <c r="D10" s="44">
        <v>50</v>
      </c>
      <c r="F10" s="40" t="s">
        <v>18</v>
      </c>
      <c r="G10" s="41">
        <v>36</v>
      </c>
      <c r="H10" s="42" t="s">
        <v>9</v>
      </c>
      <c r="J10" s="77"/>
      <c r="K10" s="575"/>
      <c r="L10" s="579"/>
      <c r="M10" s="581"/>
    </row>
    <row r="11" spans="1:13" ht="13.15" customHeight="1" x14ac:dyDescent="0.25">
      <c r="C11" s="44" t="s">
        <v>20</v>
      </c>
      <c r="D11" s="44">
        <v>50</v>
      </c>
      <c r="F11" s="40" t="s">
        <v>20</v>
      </c>
      <c r="G11" s="41">
        <v>36</v>
      </c>
      <c r="H11" s="42" t="s">
        <v>9</v>
      </c>
      <c r="J11" s="77"/>
      <c r="K11" s="575"/>
      <c r="L11" s="579"/>
      <c r="M11" s="582"/>
    </row>
    <row r="12" spans="1:13" ht="16.149999999999999" customHeight="1" x14ac:dyDescent="0.25">
      <c r="C12" s="44" t="s">
        <v>29</v>
      </c>
      <c r="D12" s="44">
        <v>35</v>
      </c>
      <c r="F12" s="40" t="s">
        <v>29</v>
      </c>
      <c r="G12" s="41">
        <v>12</v>
      </c>
      <c r="H12" s="42" t="s">
        <v>9</v>
      </c>
      <c r="J12" s="77"/>
      <c r="K12" s="575"/>
      <c r="L12" s="579"/>
      <c r="M12" s="582"/>
    </row>
    <row r="13" spans="1:13" x14ac:dyDescent="0.25">
      <c r="C13" s="44" t="s">
        <v>19</v>
      </c>
      <c r="D13" s="44">
        <v>50</v>
      </c>
      <c r="F13" s="40" t="s">
        <v>19</v>
      </c>
      <c r="G13" s="41">
        <v>48</v>
      </c>
      <c r="H13" s="42" t="s">
        <v>9</v>
      </c>
      <c r="J13" s="77"/>
      <c r="K13" s="33"/>
      <c r="L13" s="33"/>
      <c r="M13" s="582"/>
    </row>
    <row r="14" spans="1:13" x14ac:dyDescent="0.25">
      <c r="C14" s="44" t="s">
        <v>21</v>
      </c>
      <c r="D14" s="44">
        <v>50</v>
      </c>
      <c r="F14" s="40" t="s">
        <v>21</v>
      </c>
      <c r="G14" s="41">
        <v>36</v>
      </c>
      <c r="H14" s="42" t="s">
        <v>9</v>
      </c>
      <c r="J14" s="77"/>
      <c r="K14" s="33"/>
      <c r="L14" s="33"/>
      <c r="M14" s="47"/>
    </row>
    <row r="15" spans="1:13" ht="15.6" customHeight="1" x14ac:dyDescent="0.25">
      <c r="C15" s="44" t="s">
        <v>61</v>
      </c>
      <c r="D15" s="44">
        <v>35</v>
      </c>
      <c r="F15" s="40" t="s">
        <v>61</v>
      </c>
      <c r="G15" s="41">
        <v>24</v>
      </c>
      <c r="H15" s="42" t="s">
        <v>9</v>
      </c>
      <c r="J15" s="566" t="s">
        <v>131</v>
      </c>
      <c r="K15" s="574" t="s">
        <v>265</v>
      </c>
      <c r="L15" s="568" t="s">
        <v>132</v>
      </c>
      <c r="M15" s="570" t="s">
        <v>269</v>
      </c>
    </row>
    <row r="16" spans="1:13" ht="15.6" customHeight="1" x14ac:dyDescent="0.25">
      <c r="C16" s="44" t="s">
        <v>22</v>
      </c>
      <c r="D16" s="44">
        <v>50</v>
      </c>
      <c r="F16" s="40" t="s">
        <v>22</v>
      </c>
      <c r="G16" s="41">
        <v>48</v>
      </c>
      <c r="H16" s="42" t="s">
        <v>9</v>
      </c>
      <c r="J16" s="567"/>
      <c r="K16" s="575"/>
      <c r="L16" s="569"/>
      <c r="M16" s="571"/>
    </row>
    <row r="17" spans="2:13" ht="16.149999999999999" customHeight="1" x14ac:dyDescent="0.25">
      <c r="C17" s="44" t="s">
        <v>23</v>
      </c>
      <c r="D17" s="44">
        <v>50</v>
      </c>
      <c r="F17" s="40" t="s">
        <v>23</v>
      </c>
      <c r="G17" s="41">
        <v>48</v>
      </c>
      <c r="H17" s="42" t="s">
        <v>9</v>
      </c>
      <c r="J17" s="77"/>
      <c r="K17" s="575"/>
      <c r="L17" s="569"/>
      <c r="M17" s="571"/>
    </row>
    <row r="18" spans="2:13" x14ac:dyDescent="0.25">
      <c r="C18" s="44" t="s">
        <v>31</v>
      </c>
      <c r="D18" s="44">
        <v>25</v>
      </c>
      <c r="F18" s="40" t="s">
        <v>31</v>
      </c>
      <c r="G18" s="41">
        <v>12</v>
      </c>
      <c r="H18" s="42" t="s">
        <v>9</v>
      </c>
      <c r="J18" s="77"/>
      <c r="K18" s="575"/>
      <c r="L18" s="569"/>
      <c r="M18" s="571"/>
    </row>
    <row r="19" spans="2:13" x14ac:dyDescent="0.25">
      <c r="C19" s="44" t="s">
        <v>169</v>
      </c>
      <c r="D19" s="44">
        <v>50</v>
      </c>
      <c r="F19" s="40" t="s">
        <v>169</v>
      </c>
      <c r="G19" s="41">
        <v>48</v>
      </c>
      <c r="H19" s="42" t="s">
        <v>9</v>
      </c>
      <c r="J19" s="78"/>
      <c r="K19" s="37"/>
      <c r="L19" s="37"/>
      <c r="M19" s="50"/>
    </row>
    <row r="20" spans="2:13" ht="15.6" customHeight="1" x14ac:dyDescent="0.25">
      <c r="C20" s="44" t="s">
        <v>24</v>
      </c>
      <c r="D20" s="44">
        <v>50</v>
      </c>
      <c r="F20" s="40" t="s">
        <v>142</v>
      </c>
      <c r="G20" s="51">
        <v>42</v>
      </c>
      <c r="H20" s="42" t="s">
        <v>9</v>
      </c>
      <c r="J20" s="566" t="s">
        <v>24</v>
      </c>
      <c r="K20" s="574" t="s">
        <v>266</v>
      </c>
      <c r="L20" s="568" t="s">
        <v>133</v>
      </c>
      <c r="M20" s="577" t="s">
        <v>138</v>
      </c>
    </row>
    <row r="21" spans="2:13" x14ac:dyDescent="0.25">
      <c r="C21" s="44" t="s">
        <v>25</v>
      </c>
      <c r="D21" s="44">
        <v>50</v>
      </c>
      <c r="F21" s="40" t="s">
        <v>24</v>
      </c>
      <c r="G21" s="41">
        <v>60</v>
      </c>
      <c r="H21" s="42" t="s">
        <v>9</v>
      </c>
      <c r="J21" s="567"/>
      <c r="K21" s="575"/>
      <c r="L21" s="569"/>
      <c r="M21" s="578"/>
    </row>
    <row r="22" spans="2:13" x14ac:dyDescent="0.25">
      <c r="C22" s="44" t="s">
        <v>13</v>
      </c>
      <c r="D22" s="44">
        <v>40</v>
      </c>
      <c r="F22" s="40" t="s">
        <v>25</v>
      </c>
      <c r="G22" s="41">
        <v>48</v>
      </c>
      <c r="H22" s="42" t="s">
        <v>9</v>
      </c>
      <c r="J22" s="77"/>
      <c r="K22" s="575"/>
      <c r="L22" s="569"/>
      <c r="M22" s="578"/>
    </row>
    <row r="23" spans="2:13" x14ac:dyDescent="0.25">
      <c r="C23" s="44" t="s">
        <v>30</v>
      </c>
      <c r="D23" s="44">
        <v>35</v>
      </c>
      <c r="F23" s="40" t="s">
        <v>13</v>
      </c>
      <c r="G23" s="41">
        <v>36</v>
      </c>
      <c r="H23" s="42" t="s">
        <v>9</v>
      </c>
      <c r="J23" s="77"/>
      <c r="K23" s="575"/>
      <c r="L23" s="58"/>
      <c r="M23" s="578"/>
    </row>
    <row r="24" spans="2:13" x14ac:dyDescent="0.25">
      <c r="C24" s="48" t="s">
        <v>27</v>
      </c>
      <c r="D24" s="44">
        <v>40</v>
      </c>
      <c r="F24" s="40" t="s">
        <v>140</v>
      </c>
      <c r="G24" s="41">
        <v>36</v>
      </c>
      <c r="H24" s="42" t="s">
        <v>9</v>
      </c>
      <c r="J24" s="77"/>
      <c r="K24" s="33"/>
      <c r="L24" s="33"/>
      <c r="M24" s="578"/>
    </row>
    <row r="25" spans="2:13" ht="13.15" customHeight="1" x14ac:dyDescent="0.25">
      <c r="F25" s="40" t="s">
        <v>141</v>
      </c>
      <c r="G25" s="41">
        <v>30</v>
      </c>
      <c r="H25" s="42" t="s">
        <v>9</v>
      </c>
      <c r="J25" s="78"/>
      <c r="K25" s="37"/>
      <c r="L25" s="37"/>
      <c r="M25" s="52"/>
    </row>
    <row r="26" spans="2:13" ht="15.6" customHeight="1" x14ac:dyDescent="0.25">
      <c r="F26" s="40" t="s">
        <v>30</v>
      </c>
      <c r="G26" s="41">
        <v>12</v>
      </c>
      <c r="H26" s="42" t="s">
        <v>9</v>
      </c>
      <c r="J26" s="566" t="s">
        <v>135</v>
      </c>
      <c r="K26" s="574" t="s">
        <v>264</v>
      </c>
      <c r="L26" s="568" t="s">
        <v>134</v>
      </c>
      <c r="M26" s="570" t="s">
        <v>258</v>
      </c>
    </row>
    <row r="27" spans="2:13" x14ac:dyDescent="0.25">
      <c r="F27" s="46" t="s">
        <v>27</v>
      </c>
      <c r="G27" s="41">
        <v>36</v>
      </c>
      <c r="H27" s="42" t="s">
        <v>9</v>
      </c>
      <c r="J27" s="567"/>
      <c r="K27" s="575"/>
      <c r="L27" s="569"/>
      <c r="M27" s="571"/>
    </row>
    <row r="28" spans="2:13" x14ac:dyDescent="0.25">
      <c r="B28" s="565" t="s">
        <v>252</v>
      </c>
      <c r="C28" s="565"/>
      <c r="D28" s="565"/>
      <c r="J28" s="576"/>
      <c r="K28" s="575"/>
      <c r="L28" s="569"/>
      <c r="M28" s="571"/>
    </row>
    <row r="29" spans="2:13" ht="32.450000000000003" customHeight="1" x14ac:dyDescent="0.25">
      <c r="B29" s="79" t="s">
        <v>85</v>
      </c>
      <c r="C29" s="79" t="s">
        <v>247</v>
      </c>
      <c r="D29" s="80" t="s">
        <v>248</v>
      </c>
      <c r="J29" s="77"/>
      <c r="K29" s="33"/>
      <c r="L29" s="33"/>
      <c r="M29" s="571"/>
    </row>
    <row r="30" spans="2:13" x14ac:dyDescent="0.25">
      <c r="B30" s="68" t="s">
        <v>245</v>
      </c>
      <c r="C30" s="69">
        <v>0.5</v>
      </c>
      <c r="D30" s="68" t="s">
        <v>246</v>
      </c>
      <c r="F30" s="67" t="s">
        <v>175</v>
      </c>
      <c r="G30" s="469" t="s">
        <v>12</v>
      </c>
      <c r="J30" s="78"/>
      <c r="K30" s="37"/>
      <c r="L30" s="37"/>
      <c r="M30" s="50"/>
    </row>
    <row r="31" spans="2:13" ht="15.6" customHeight="1" x14ac:dyDescent="0.25">
      <c r="B31" s="68" t="s">
        <v>95</v>
      </c>
      <c r="C31" s="70">
        <v>1.8</v>
      </c>
      <c r="D31" s="68" t="s">
        <v>249</v>
      </c>
      <c r="F31" s="44" t="s">
        <v>312</v>
      </c>
      <c r="G31" s="516">
        <v>82</v>
      </c>
      <c r="J31" s="566" t="s">
        <v>260</v>
      </c>
      <c r="K31" s="574" t="s">
        <v>267</v>
      </c>
      <c r="L31" s="568" t="s">
        <v>139</v>
      </c>
      <c r="M31" s="572" t="s">
        <v>259</v>
      </c>
    </row>
    <row r="32" spans="2:13" x14ac:dyDescent="0.25">
      <c r="B32" s="68" t="s">
        <v>93</v>
      </c>
      <c r="C32" s="70">
        <v>2.4</v>
      </c>
      <c r="D32" s="68" t="s">
        <v>249</v>
      </c>
      <c r="F32" s="44" t="s">
        <v>336</v>
      </c>
      <c r="G32" s="516">
        <v>87</v>
      </c>
      <c r="J32" s="567"/>
      <c r="K32" s="575"/>
      <c r="L32" s="569"/>
      <c r="M32" s="573"/>
    </row>
    <row r="33" spans="2:13" ht="13.15" customHeight="1" x14ac:dyDescent="0.25">
      <c r="B33" s="68" t="s">
        <v>86</v>
      </c>
      <c r="C33" s="70">
        <v>0.75</v>
      </c>
      <c r="D33" s="68" t="s">
        <v>249</v>
      </c>
      <c r="F33" s="44" t="s">
        <v>337</v>
      </c>
      <c r="G33" s="516">
        <v>70</v>
      </c>
      <c r="J33" s="567"/>
      <c r="K33" s="76"/>
      <c r="L33" s="74"/>
      <c r="M33" s="75"/>
    </row>
    <row r="34" spans="2:13" x14ac:dyDescent="0.25">
      <c r="B34" s="68" t="s">
        <v>89</v>
      </c>
      <c r="C34" s="70">
        <v>1.7</v>
      </c>
      <c r="D34" s="68" t="s">
        <v>249</v>
      </c>
      <c r="F34" s="44" t="s">
        <v>338</v>
      </c>
      <c r="G34" s="516">
        <v>65</v>
      </c>
      <c r="J34" s="78"/>
      <c r="K34" s="37"/>
      <c r="L34" s="37"/>
      <c r="M34" s="50"/>
    </row>
    <row r="35" spans="2:13" ht="15.6" customHeight="1" x14ac:dyDescent="0.25">
      <c r="B35" s="68" t="s">
        <v>90</v>
      </c>
      <c r="C35" s="70">
        <v>2</v>
      </c>
      <c r="D35" s="68" t="s">
        <v>249</v>
      </c>
      <c r="F35" s="44" t="s">
        <v>339</v>
      </c>
      <c r="G35" s="516">
        <v>80</v>
      </c>
      <c r="J35" s="566" t="s">
        <v>136</v>
      </c>
      <c r="K35" s="574" t="s">
        <v>268</v>
      </c>
      <c r="L35" s="568" t="s">
        <v>137</v>
      </c>
      <c r="M35" s="570" t="s">
        <v>261</v>
      </c>
    </row>
    <row r="36" spans="2:13" ht="13.15" customHeight="1" x14ac:dyDescent="0.25">
      <c r="B36" s="68" t="s">
        <v>87</v>
      </c>
      <c r="C36" s="70">
        <v>1.25</v>
      </c>
      <c r="D36" s="68" t="s">
        <v>249</v>
      </c>
      <c r="F36" s="44" t="s">
        <v>340</v>
      </c>
      <c r="G36" s="516">
        <v>75</v>
      </c>
      <c r="J36" s="567"/>
      <c r="K36" s="575"/>
      <c r="L36" s="569"/>
      <c r="M36" s="571"/>
    </row>
    <row r="37" spans="2:13" x14ac:dyDescent="0.25">
      <c r="B37" s="68" t="s">
        <v>250</v>
      </c>
      <c r="C37" s="70">
        <v>1</v>
      </c>
      <c r="D37" s="68" t="s">
        <v>246</v>
      </c>
      <c r="F37" s="44" t="s">
        <v>341</v>
      </c>
      <c r="G37" s="516">
        <v>60</v>
      </c>
      <c r="J37" s="45"/>
      <c r="K37" s="575"/>
      <c r="L37" s="33"/>
      <c r="M37" s="571"/>
    </row>
    <row r="38" spans="2:13" x14ac:dyDescent="0.25">
      <c r="B38" s="68" t="s">
        <v>251</v>
      </c>
      <c r="C38" s="70">
        <v>2</v>
      </c>
      <c r="D38" s="68" t="s">
        <v>246</v>
      </c>
      <c r="J38" s="45"/>
      <c r="K38" s="575"/>
      <c r="L38" s="33"/>
      <c r="M38" s="571"/>
    </row>
    <row r="39" spans="2:13" x14ac:dyDescent="0.25">
      <c r="B39" s="68" t="s">
        <v>92</v>
      </c>
      <c r="C39" s="70">
        <v>1.8</v>
      </c>
      <c r="D39" s="68" t="s">
        <v>249</v>
      </c>
      <c r="J39" s="45"/>
      <c r="K39" s="33"/>
      <c r="L39" s="33"/>
      <c r="M39" s="571"/>
    </row>
    <row r="40" spans="2:13" x14ac:dyDescent="0.25">
      <c r="B40" s="68" t="s">
        <v>88</v>
      </c>
      <c r="C40" s="70">
        <v>1.45</v>
      </c>
      <c r="D40" s="68" t="s">
        <v>249</v>
      </c>
      <c r="J40" s="45"/>
      <c r="K40" s="33"/>
      <c r="L40" s="33"/>
      <c r="M40" s="571"/>
    </row>
    <row r="41" spans="2:13" x14ac:dyDescent="0.25">
      <c r="B41" s="68" t="s">
        <v>91</v>
      </c>
      <c r="C41" s="70">
        <v>2.4</v>
      </c>
      <c r="D41" s="68" t="s">
        <v>249</v>
      </c>
      <c r="J41" s="49"/>
      <c r="K41" s="37"/>
      <c r="L41" s="37"/>
      <c r="M41" s="50"/>
    </row>
    <row r="42" spans="2:13" x14ac:dyDescent="0.25">
      <c r="B42" s="68" t="s">
        <v>143</v>
      </c>
      <c r="C42" s="70">
        <v>1.9</v>
      </c>
      <c r="D42" s="68" t="s">
        <v>249</v>
      </c>
    </row>
    <row r="43" spans="2:13" x14ac:dyDescent="0.25">
      <c r="B43" s="68" t="s">
        <v>94</v>
      </c>
      <c r="C43" s="70">
        <v>2.4</v>
      </c>
      <c r="D43" s="68" t="s">
        <v>249</v>
      </c>
    </row>
  </sheetData>
  <sheetProtection selectLockedCells="1"/>
  <sortState ref="C4:D24">
    <sortCondition ref="C4"/>
  </sortState>
  <mergeCells count="26">
    <mergeCell ref="K3:K7"/>
    <mergeCell ref="K8:K12"/>
    <mergeCell ref="K15:K18"/>
    <mergeCell ref="K20:K23"/>
    <mergeCell ref="K26:K28"/>
    <mergeCell ref="L8:L12"/>
    <mergeCell ref="M8:M13"/>
    <mergeCell ref="J15:J16"/>
    <mergeCell ref="L15:L18"/>
    <mergeCell ref="M15:M18"/>
    <mergeCell ref="J8:J9"/>
    <mergeCell ref="L20:L22"/>
    <mergeCell ref="J26:J28"/>
    <mergeCell ref="L26:L28"/>
    <mergeCell ref="M26:M29"/>
    <mergeCell ref="M20:M24"/>
    <mergeCell ref="J20:J21"/>
    <mergeCell ref="B28:D28"/>
    <mergeCell ref="J35:J36"/>
    <mergeCell ref="L35:L36"/>
    <mergeCell ref="M35:M40"/>
    <mergeCell ref="L31:L32"/>
    <mergeCell ref="M31:M32"/>
    <mergeCell ref="J31:J33"/>
    <mergeCell ref="K31:K32"/>
    <mergeCell ref="K35:K38"/>
  </mergeCells>
  <pageMargins left="0.7" right="0.7" top="0.75" bottom="0.75" header="0.3" footer="0.3"/>
  <pageSetup scale="49" orientation="landscape" r:id="rId1"/>
  <headerFooter>
    <oddFooter>&amp;L&amp;"-,Regular"&amp;8Ver. 1.0
&amp;F
&amp;Z&amp;F&amp;C&amp;"-,Regular"&amp;8North Dakota NRCS IWM Certification Form
NEM Tables
&amp;R&amp;"-,Regular"&amp;8&amp;D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Instructions</vt:lpstr>
      <vt:lpstr>General Information</vt:lpstr>
      <vt:lpstr>Net Irrigation Calculator</vt:lpstr>
      <vt:lpstr>Moisture Sensors (tensiometer)</vt:lpstr>
      <vt:lpstr>Feel and Appearance</vt:lpstr>
      <vt:lpstr>NDAWN</vt:lpstr>
      <vt:lpstr>IWM Evaluation</vt:lpstr>
      <vt:lpstr>Certification</vt:lpstr>
      <vt:lpstr>NEH</vt:lpstr>
      <vt:lpstr>BeginDate</vt:lpstr>
      <vt:lpstr>EndDate</vt:lpstr>
      <vt:lpstr>FieldCap</vt:lpstr>
      <vt:lpstr>FieldCapa</vt:lpstr>
      <vt:lpstr>FieldCapb</vt:lpstr>
      <vt:lpstr>MAD</vt:lpstr>
      <vt:lpstr>MADa</vt:lpstr>
      <vt:lpstr>MADb</vt:lpstr>
      <vt:lpstr>Certification!Print_Area</vt:lpstr>
      <vt:lpstr>'Feel and Appearance'!Print_Area</vt:lpstr>
      <vt:lpstr>'General Information'!Print_Area</vt:lpstr>
      <vt:lpstr>Instructions!Print_Area</vt:lpstr>
      <vt:lpstr>'IWM Evaluation'!Print_Area</vt:lpstr>
      <vt:lpstr>'Moisture Sensors (tensiometer)'!Print_Area</vt:lpstr>
      <vt:lpstr>NEH!Print_Area</vt:lpstr>
      <vt:lpstr>'Net Irrigation Calculator'!Print_Area</vt:lpstr>
    </vt:vector>
  </TitlesOfParts>
  <Manager>Amanda.Crowe@nd.usda.gov</Manager>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 Dakota IWM</dc:title>
  <dc:creator>Crowe, Amanda - NRCS, Bismarck, ND</dc:creator>
  <cp:lastModifiedBy>Reynolds, Nicholas - NRCS, Bismarck, ND</cp:lastModifiedBy>
  <cp:lastPrinted>2015-08-06T19:34:29Z</cp:lastPrinted>
  <dcterms:created xsi:type="dcterms:W3CDTF">2010-01-07T21:32:06Z</dcterms:created>
  <dcterms:modified xsi:type="dcterms:W3CDTF">2019-01-08T22:12:22Z</dcterms:modified>
</cp:coreProperties>
</file>