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ocuments\Design tools\Culvert WI\"/>
    </mc:Choice>
  </mc:AlternateContent>
  <bookViews>
    <workbookView xWindow="0" yWindow="0" windowWidth="20850" windowHeight="9630"/>
  </bookViews>
  <sheets>
    <sheet name="Culvert Analysis" sheetId="1" r:id="rId1"/>
    <sheet name="Culvert Data" sheetId="3" r:id="rId2"/>
    <sheet name="Culvert Entrance Conditions" sheetId="4" r:id="rId3"/>
    <sheet name="Help Information" sheetId="2" r:id="rId4"/>
    <sheet name="help for macros" sheetId="5" r:id="rId5"/>
    <sheet name="Help for Macros Excel 2010" sheetId="7" r:id="rId6"/>
  </sheets>
  <definedNames>
    <definedName name="CMP">'Culvert Data'!$C$32:$C$34</definedName>
    <definedName name="CMP_2.67x0.5">'Culvert Data'!$C$32:$C$34</definedName>
    <definedName name="CMP_3x1">'Culvert Data'!$C$43:$C$45</definedName>
    <definedName name="CONCRETE">'Culvert Data'!$C$28:$C$31</definedName>
    <definedName name="Corrugated_PE">'Culvert Data'!$C$40:$C$42</definedName>
    <definedName name="Culv_Entrance">'Culvert Data'!$A$15:$A$20</definedName>
    <definedName name="Culv_Material">'Culvert Data'!$A$3:$A$9</definedName>
    <definedName name="Culv_n_Values">'Culvert Data'!$A$3:$A$9</definedName>
    <definedName name="Culvert_Material">'Culvert Data'!$A$3:$A$9</definedName>
    <definedName name="_xlnm.Print_Area" localSheetId="0">'Culvert Analysis'!$A$1:$G$31</definedName>
    <definedName name="_xlnm.Print_Area" localSheetId="4">'help for macros'!$A$1:$N$114</definedName>
    <definedName name="_xlnm.Print_Area" localSheetId="5">'Help for Macros Excel 2010'!$A$1:$N$114</definedName>
    <definedName name="PVC_Plastic">'Culvert Data'!$C$35:$C$36</definedName>
    <definedName name="Smooth_HDPE">'Culvert Data'!$C$37:$C$39</definedName>
    <definedName name="solver_adj" localSheetId="0" hidden="1">'Culvert Analysis'!$C$99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100</definedName>
    <definedName name="solver_lhs1" localSheetId="0" hidden="1">'Culvert Analysis'!$C$99</definedName>
    <definedName name="solver_lhs2" localSheetId="0" hidden="1">'Culvert Analysis'!$C$99</definedName>
    <definedName name="solver_lhs3" localSheetId="0" hidden="1">'Culvert Analysis'!$C$98</definedName>
    <definedName name="solver_lhs4" localSheetId="0" hidden="1">'Culvert Analysis'!$C$98</definedName>
    <definedName name="solver_lhs5" localSheetId="0" hidden="1">'Culvert Analysis'!$C$99</definedName>
    <definedName name="solver_lhs6" localSheetId="0" hidden="1">'Culvert Analysis'!$C$99</definedName>
    <definedName name="solver_lin" localSheetId="0" hidden="1">2</definedName>
    <definedName name="solver_neg" localSheetId="0" hidden="1">1</definedName>
    <definedName name="solver_num" localSheetId="0" hidden="1">2</definedName>
    <definedName name="solver_nwt" localSheetId="0" hidden="1">1</definedName>
    <definedName name="solver_opt" localSheetId="0" hidden="1">'Culvert Analysis'!$W$100</definedName>
    <definedName name="solver_pre" localSheetId="0" hidden="1">0.000001</definedName>
    <definedName name="solver_rel1" localSheetId="0" hidden="1">3</definedName>
    <definedName name="solver_rel2" localSheetId="0" hidden="1">1</definedName>
    <definedName name="solver_rel3" localSheetId="0" hidden="1">3</definedName>
    <definedName name="solver_rel4" localSheetId="0" hidden="1">1</definedName>
    <definedName name="solver_rel5" localSheetId="0" hidden="1">3</definedName>
    <definedName name="solver_rel6" localSheetId="0" hidden="1">1</definedName>
    <definedName name="solver_rhs1" localSheetId="0" hidden="1">'Culvert Analysis'!$F$101</definedName>
    <definedName name="solver_rhs2" localSheetId="0" hidden="1">'Culvert Analysis'!$F$100</definedName>
    <definedName name="solver_rhs3" localSheetId="0" hidden="1">0.000001</definedName>
    <definedName name="solver_rhs4" localSheetId="0" hidden="1">2</definedName>
    <definedName name="solver_rhs5" localSheetId="0" hidden="1">'Culvert Analysis'!$F$101</definedName>
    <definedName name="solver_rhs6" localSheetId="0" hidden="1">'Culvert Analysis'!$F$100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2</definedName>
    <definedName name="solver_val" localSheetId="0" hidden="1">0</definedName>
    <definedName name="solver_ver" localSheetId="0" hidden="1">3</definedName>
    <definedName name="Welded_Steel">'Culvert Data'!$C$46:$C$48</definedName>
  </definedNames>
  <calcPr calcId="152511"/>
</workbook>
</file>

<file path=xl/calcChain.xml><?xml version="1.0" encoding="utf-8"?>
<calcChain xmlns="http://schemas.openxmlformats.org/spreadsheetml/2006/main">
  <c r="B45" i="1" l="1"/>
  <c r="B44" i="1"/>
  <c r="B43" i="1"/>
  <c r="B42" i="1"/>
  <c r="F19" i="1" l="1"/>
  <c r="A1" i="2" l="1"/>
  <c r="G38" i="1" l="1"/>
  <c r="K88" i="1"/>
  <c r="I98" i="1"/>
  <c r="K89" i="1"/>
  <c r="C140" i="1"/>
  <c r="E29" i="1"/>
  <c r="E28" i="1"/>
  <c r="E115" i="1"/>
  <c r="B40" i="1"/>
  <c r="E114" i="1" s="1"/>
  <c r="I60" i="1"/>
  <c r="F116" i="1" l="1"/>
  <c r="A32" i="1"/>
  <c r="F110" i="1"/>
  <c r="D29" i="1" l="1"/>
  <c r="B55" i="1"/>
  <c r="B38" i="1"/>
  <c r="D28" i="1"/>
  <c r="B47" i="1"/>
  <c r="B39" i="1"/>
  <c r="F62" i="1" l="1"/>
  <c r="F100" i="1"/>
  <c r="P98" i="1"/>
  <c r="C100" i="1"/>
  <c r="C101" i="1" s="1"/>
  <c r="F63" i="1"/>
  <c r="F101" i="1"/>
  <c r="P99" i="1"/>
  <c r="F99" i="1"/>
  <c r="V98" i="1"/>
  <c r="B41" i="1"/>
  <c r="B54" i="1" s="1"/>
  <c r="B112" i="1"/>
  <c r="B114" i="1" s="1"/>
  <c r="P60" i="1"/>
  <c r="E74" i="1"/>
  <c r="A96" i="1"/>
  <c r="B56" i="1"/>
  <c r="F41" i="1"/>
  <c r="C83" i="1"/>
  <c r="G84" i="1"/>
  <c r="B48" i="1"/>
  <c r="G47" i="1" s="1"/>
  <c r="B57" i="1" s="1"/>
  <c r="D39" i="1"/>
  <c r="D38" i="1"/>
  <c r="P100" i="1" l="1"/>
  <c r="W100" i="1" s="1"/>
  <c r="V99" i="1"/>
  <c r="E77" i="1"/>
  <c r="B74" i="1" s="1"/>
  <c r="P61" i="1"/>
  <c r="B62" i="1"/>
  <c r="B63" i="1" s="1"/>
  <c r="B64" i="1" s="1"/>
  <c r="B65" i="1" s="1"/>
  <c r="B66" i="1" s="1"/>
  <c r="B67" i="1" s="1"/>
  <c r="J41" i="1"/>
  <c r="C98" i="1" s="1"/>
  <c r="C102" i="1" s="1"/>
  <c r="B84" i="1"/>
  <c r="E60" i="1" l="1"/>
  <c r="E61" i="1" s="1"/>
  <c r="E78" i="1"/>
  <c r="F102" i="1"/>
  <c r="C105" i="1" s="1"/>
  <c r="P62" i="1"/>
  <c r="W62" i="1" s="1"/>
  <c r="B46" i="1"/>
  <c r="B88" i="1" s="1"/>
  <c r="B81" i="1" l="1"/>
  <c r="M67" i="1"/>
  <c r="P67" i="1" s="1"/>
  <c r="B89" i="1"/>
  <c r="C92" i="1" s="1"/>
  <c r="N92" i="1" s="1"/>
  <c r="I67" i="1"/>
  <c r="B69" i="1"/>
  <c r="A76" i="1"/>
  <c r="D79" i="1"/>
  <c r="N123" i="1" l="1"/>
  <c r="B124" i="1" s="1"/>
  <c r="N124" i="1"/>
  <c r="A123" i="1" s="1"/>
  <c r="D69" i="1"/>
  <c r="P92" i="1"/>
  <c r="E26" i="1" l="1"/>
  <c r="D92" i="1"/>
  <c r="B113" i="1" l="1"/>
  <c r="B115" i="1" s="1"/>
  <c r="B117" i="1" l="1"/>
  <c r="B116" i="1"/>
  <c r="B109" i="1" l="1"/>
  <c r="B110" i="1" s="1"/>
  <c r="B111" i="1" s="1"/>
  <c r="F111" i="1"/>
  <c r="M109" i="1" s="1"/>
  <c r="M110" i="1" s="1"/>
  <c r="O110" i="1" s="1"/>
  <c r="M111" i="1" l="1"/>
  <c r="F112" i="1"/>
  <c r="F117" i="1" s="1"/>
  <c r="F118" i="1" s="1"/>
  <c r="O111" i="1" l="1"/>
  <c r="M112" i="1" s="1"/>
  <c r="F113" i="1"/>
  <c r="M113" i="1" l="1"/>
  <c r="M114" i="1"/>
  <c r="M115" i="1" l="1"/>
  <c r="M116" i="1" s="1"/>
  <c r="M117" i="1" s="1"/>
  <c r="M118" i="1" s="1"/>
  <c r="M119" i="1" s="1"/>
  <c r="M120" i="1" s="1"/>
  <c r="Q112" i="1" s="1"/>
  <c r="Q114" i="1" l="1"/>
  <c r="Q113" i="1"/>
  <c r="Q115" i="1" l="1"/>
  <c r="Q116" i="1" s="1"/>
  <c r="V109" i="1" s="1"/>
  <c r="V110" i="1" s="1"/>
  <c r="X110" i="1" s="1"/>
  <c r="V111" i="1" l="1"/>
  <c r="X111" i="1" s="1"/>
  <c r="V112" i="1" s="1"/>
  <c r="V114" i="1" l="1"/>
  <c r="V113" i="1"/>
  <c r="V115" i="1" l="1"/>
  <c r="V116" i="1" s="1"/>
  <c r="V117" i="1" s="1"/>
  <c r="V118" i="1" s="1"/>
  <c r="V119" i="1" s="1"/>
  <c r="V120" i="1" s="1"/>
  <c r="Z112" i="1" s="1"/>
  <c r="Z114" i="1" l="1"/>
  <c r="Z113" i="1"/>
  <c r="Z115" i="1" l="1"/>
  <c r="Z116" i="1" s="1"/>
  <c r="AF109" i="1" s="1"/>
  <c r="AF110" i="1" s="1"/>
  <c r="AH110" i="1" s="1"/>
  <c r="AF111" i="1" l="1"/>
  <c r="AH111" i="1" s="1"/>
  <c r="AF112" i="1" s="1"/>
  <c r="AF113" i="1" l="1"/>
  <c r="AF114" i="1"/>
  <c r="AF115" i="1" l="1"/>
  <c r="AF116" i="1" s="1"/>
  <c r="AF117" i="1" s="1"/>
  <c r="AF118" i="1" s="1"/>
  <c r="AF119" i="1" s="1"/>
  <c r="AF120" i="1" s="1"/>
  <c r="AJ112" i="1" s="1"/>
  <c r="AJ114" i="1" l="1"/>
  <c r="AJ113" i="1"/>
  <c r="AJ115" i="1" l="1"/>
  <c r="AJ116" i="1" s="1"/>
  <c r="AP109" i="1" s="1"/>
  <c r="AP110" i="1" s="1"/>
  <c r="AR110" i="1" s="1"/>
  <c r="AP111" i="1" l="1"/>
  <c r="AR111" i="1" s="1"/>
  <c r="AP112" i="1" s="1"/>
  <c r="AP113" i="1" l="1"/>
  <c r="AP114" i="1"/>
  <c r="C26" i="1"/>
  <c r="AP115" i="1" l="1"/>
  <c r="AP116" i="1" s="1"/>
  <c r="AP117" i="1" s="1"/>
  <c r="AP118" i="1" s="1"/>
  <c r="AP119" i="1" s="1"/>
  <c r="B122" i="1"/>
  <c r="A122" i="1"/>
  <c r="AP120" i="1" l="1"/>
  <c r="AT112" i="1" s="1"/>
  <c r="AT114" i="1" l="1"/>
  <c r="AT113" i="1"/>
  <c r="AT115" i="1" l="1"/>
  <c r="AT116" i="1" s="1"/>
  <c r="AZ109" i="1" s="1"/>
  <c r="AZ110" i="1" s="1"/>
  <c r="BB110" i="1" s="1"/>
  <c r="AZ111" i="1" l="1"/>
  <c r="BB111" i="1" s="1"/>
  <c r="AZ112" i="1" s="1"/>
  <c r="AZ114" i="1" s="1"/>
  <c r="AZ113" i="1" l="1"/>
  <c r="AZ115" i="1" s="1"/>
  <c r="AZ116" i="1" s="1"/>
  <c r="AZ117" i="1" s="1"/>
  <c r="AZ118" i="1" s="1"/>
  <c r="AZ119" i="1" s="1"/>
  <c r="AZ120" i="1" s="1"/>
  <c r="BD112" i="1" s="1"/>
  <c r="BD113" i="1" l="1"/>
  <c r="BD114" i="1"/>
  <c r="BD115" i="1" l="1"/>
  <c r="BD116" i="1" s="1"/>
  <c r="BJ109" i="1" s="1"/>
  <c r="BJ110" i="1" s="1"/>
  <c r="BL110" i="1" s="1"/>
  <c r="BJ111" i="1" l="1"/>
  <c r="BL111" i="1" s="1"/>
  <c r="BJ112" i="1" s="1"/>
  <c r="BJ114" i="1" s="1"/>
  <c r="BJ113" i="1" l="1"/>
  <c r="BJ115" i="1" s="1"/>
  <c r="BJ116" i="1" s="1"/>
  <c r="BJ117" i="1" s="1"/>
  <c r="BJ118" i="1" s="1"/>
  <c r="BJ119" i="1" s="1"/>
  <c r="BJ120" i="1" l="1"/>
  <c r="BN112" i="1" l="1"/>
  <c r="BN114" i="1" l="1"/>
  <c r="BN113" i="1"/>
  <c r="BN115" i="1" l="1"/>
  <c r="BN116" i="1" s="1"/>
  <c r="BT109" i="1" s="1"/>
  <c r="BT110" i="1" s="1"/>
  <c r="BV110" i="1" s="1"/>
  <c r="BT111" i="1" l="1"/>
  <c r="BV111" i="1" s="1"/>
  <c r="BT112" i="1" s="1"/>
  <c r="BT114" i="1" s="1"/>
  <c r="BT113" i="1" l="1"/>
  <c r="BT115" i="1" s="1"/>
  <c r="BT116" i="1" s="1"/>
  <c r="BT117" i="1" s="1"/>
  <c r="BT118" i="1" s="1"/>
  <c r="BT119" i="1" s="1"/>
  <c r="BT120" i="1" s="1"/>
  <c r="BX112" i="1" s="1"/>
  <c r="BX114" i="1" l="1"/>
  <c r="BX113" i="1"/>
  <c r="BX115" i="1" l="1"/>
  <c r="CD111" i="1" l="1"/>
  <c r="BX116" i="1"/>
  <c r="CD109" i="1" s="1"/>
  <c r="CD110" i="1" s="1"/>
  <c r="CF110" i="1" s="1"/>
  <c r="CF111" i="1" l="1"/>
  <c r="CD112" i="1" s="1"/>
  <c r="CD113" i="1" l="1"/>
  <c r="CD114" i="1"/>
  <c r="CD115" i="1" l="1"/>
  <c r="CD116" i="1" s="1"/>
  <c r="CD117" i="1" s="1"/>
  <c r="CD118" i="1" s="1"/>
  <c r="CD119" i="1" s="1"/>
  <c r="CD120" i="1" s="1"/>
  <c r="CH114" i="1" s="1"/>
  <c r="CH113" i="1" l="1"/>
  <c r="CH115" i="1" s="1"/>
  <c r="CH116" i="1" s="1"/>
  <c r="CN109" i="1" s="1"/>
  <c r="CN110" i="1" s="1"/>
  <c r="CP110" i="1" s="1"/>
  <c r="CH112" i="1"/>
  <c r="CN111" i="1" l="1"/>
  <c r="CP111" i="1" s="1"/>
  <c r="CN112" i="1" s="1"/>
  <c r="CN113" i="1" s="1"/>
  <c r="CN114" i="1" l="1"/>
  <c r="CN115" i="1" s="1"/>
  <c r="CN116" i="1" s="1"/>
  <c r="CN117" i="1" s="1"/>
  <c r="CN118" i="1" s="1"/>
  <c r="CN119" i="1" s="1"/>
  <c r="CN120" i="1" s="1"/>
  <c r="CR113" i="1" s="1"/>
  <c r="CR114" i="1" l="1"/>
  <c r="CR115" i="1" s="1"/>
  <c r="CR112" i="1"/>
  <c r="CR116" i="1" l="1"/>
  <c r="CX109" i="1" s="1"/>
  <c r="CX110" i="1" s="1"/>
  <c r="CZ110" i="1" s="1"/>
  <c r="CX111" i="1"/>
  <c r="CZ111" i="1" l="1"/>
  <c r="CX112" i="1" s="1"/>
  <c r="CX114" i="1" s="1"/>
  <c r="CX113" i="1" l="1"/>
  <c r="CX115" i="1" s="1"/>
  <c r="CX116" i="1" s="1"/>
  <c r="CX117" i="1" s="1"/>
  <c r="CX118" i="1" s="1"/>
  <c r="CX119" i="1" s="1"/>
  <c r="CX120" i="1" s="1"/>
  <c r="DB114" i="1" l="1"/>
  <c r="DB112" i="1"/>
  <c r="DB113" i="1"/>
  <c r="DB115" i="1" l="1"/>
  <c r="DB116" i="1" s="1"/>
  <c r="DH109" i="1" s="1"/>
  <c r="DH110" i="1" s="1"/>
  <c r="DJ110" i="1" s="1"/>
  <c r="DH111" i="1" l="1"/>
  <c r="DJ111" i="1" s="1"/>
  <c r="DH112" i="1" s="1"/>
  <c r="DH114" i="1" l="1"/>
  <c r="DH113" i="1"/>
  <c r="DH115" i="1" l="1"/>
  <c r="DH116" i="1" s="1"/>
  <c r="DH117" i="1" s="1"/>
  <c r="DH118" i="1" s="1"/>
  <c r="DH119" i="1" s="1"/>
  <c r="DH120" i="1" s="1"/>
  <c r="DL113" i="1" l="1"/>
  <c r="DL114" i="1"/>
  <c r="DL112" i="1"/>
  <c r="DL115" i="1" l="1"/>
  <c r="DL116" i="1" l="1"/>
  <c r="DR109" i="1" s="1"/>
  <c r="DR110" i="1" s="1"/>
  <c r="DT110" i="1" s="1"/>
  <c r="DR111" i="1"/>
  <c r="DT111" i="1" l="1"/>
  <c r="DR112" i="1" s="1"/>
  <c r="DR114" i="1" s="1"/>
  <c r="DR113" i="1" l="1"/>
  <c r="DR115" i="1" s="1"/>
  <c r="DR116" i="1" s="1"/>
  <c r="DR117" i="1" s="1"/>
  <c r="DR118" i="1" s="1"/>
  <c r="DR119" i="1" s="1"/>
  <c r="DR120" i="1" s="1"/>
  <c r="DV113" i="1" l="1"/>
  <c r="DV114" i="1"/>
  <c r="DV112" i="1"/>
  <c r="DV115" i="1" l="1"/>
  <c r="EB111" i="1" l="1"/>
  <c r="DV116" i="1"/>
  <c r="EB109" i="1" s="1"/>
  <c r="EB110" i="1" s="1"/>
  <c r="ED110" i="1" s="1"/>
  <c r="ED111" i="1" l="1"/>
  <c r="EB112" i="1" s="1"/>
  <c r="EB113" i="1" s="1"/>
  <c r="EB114" i="1" l="1"/>
  <c r="EB115" i="1" s="1"/>
  <c r="EB116" i="1" s="1"/>
  <c r="EB117" i="1" s="1"/>
  <c r="EB118" i="1" s="1"/>
  <c r="EB119" i="1" s="1"/>
  <c r="EB120" i="1" s="1"/>
  <c r="EF113" i="1" l="1"/>
  <c r="EF114" i="1"/>
  <c r="EF115" i="1" l="1"/>
  <c r="EF116" i="1" l="1"/>
  <c r="EL109" i="1" s="1"/>
  <c r="EL110" i="1" s="1"/>
  <c r="EN110" i="1" s="1"/>
  <c r="EL111" i="1"/>
  <c r="EN111" i="1" l="1"/>
  <c r="EL112" i="1" s="1"/>
  <c r="EL113" i="1" l="1"/>
  <c r="EL114" i="1"/>
  <c r="EL115" i="1" l="1"/>
  <c r="EL116" i="1" s="1"/>
  <c r="EL117" i="1" s="1"/>
  <c r="EL118" i="1" s="1"/>
  <c r="EL119" i="1" s="1"/>
  <c r="EL120" i="1" s="1"/>
  <c r="EP114" i="1" l="1"/>
  <c r="EP113" i="1"/>
  <c r="EP116" i="1" l="1"/>
  <c r="EV109" i="1" s="1"/>
  <c r="EV110" i="1" s="1"/>
  <c r="EX110" i="1" s="1"/>
  <c r="EP115" i="1"/>
  <c r="EV111" i="1"/>
  <c r="EP117" i="1"/>
  <c r="FD109" i="1" s="1"/>
  <c r="FD110" i="1" s="1"/>
  <c r="FF110" i="1" s="1"/>
  <c r="FD111" i="1"/>
  <c r="EX111" i="1" l="1"/>
  <c r="EV112" i="1" s="1"/>
  <c r="EV114" i="1" s="1"/>
  <c r="FF111" i="1"/>
  <c r="FD112" i="1" s="1"/>
  <c r="EV113" i="1" l="1"/>
  <c r="EV115" i="1" s="1"/>
  <c r="EV116" i="1" s="1"/>
  <c r="EV117" i="1" s="1"/>
  <c r="EV118" i="1" s="1"/>
  <c r="EV119" i="1" s="1"/>
  <c r="EV120" i="1" s="1"/>
  <c r="FH113" i="1" s="1"/>
  <c r="FD113" i="1"/>
  <c r="FD114" i="1"/>
  <c r="FD115" i="1" l="1"/>
  <c r="FD116" i="1" s="1"/>
  <c r="FD117" i="1" s="1"/>
  <c r="FD118" i="1" s="1"/>
  <c r="FD119" i="1" s="1"/>
  <c r="FD120" i="1" s="1"/>
  <c r="FH114" i="1" s="1"/>
  <c r="FH115" i="1" s="1"/>
  <c r="FN111" i="1" l="1"/>
  <c r="FH116" i="1"/>
  <c r="FN109" i="1" s="1"/>
  <c r="FN110" i="1" s="1"/>
  <c r="FP110" i="1" s="1"/>
  <c r="FP111" i="1" l="1"/>
  <c r="FN112" i="1" s="1"/>
  <c r="FN113" i="1" s="1"/>
  <c r="FN114" i="1" l="1"/>
  <c r="FN115" i="1" s="1"/>
  <c r="FN116" i="1" l="1"/>
  <c r="FN117" i="1" s="1"/>
  <c r="FN118" i="1" s="1"/>
  <c r="FN119" i="1" s="1"/>
  <c r="FN120" i="1" l="1"/>
  <c r="FR113" i="1" l="1"/>
  <c r="FR114" i="1"/>
  <c r="FR115" i="1" l="1"/>
  <c r="FR116" i="1" l="1"/>
  <c r="FX109" i="1" s="1"/>
  <c r="FX110" i="1" s="1"/>
  <c r="FZ110" i="1" s="1"/>
  <c r="FX111" i="1"/>
  <c r="FZ111" i="1" l="1"/>
  <c r="FX112" i="1" s="1"/>
  <c r="FX113" i="1" s="1"/>
  <c r="FX114" i="1" l="1"/>
  <c r="FX115" i="1" s="1"/>
  <c r="FX116" i="1" s="1"/>
  <c r="FX117" i="1" s="1"/>
  <c r="FX118" i="1" s="1"/>
  <c r="FX119" i="1" s="1"/>
  <c r="FX120" i="1" s="1"/>
  <c r="GB114" i="1" l="1"/>
  <c r="GB113" i="1"/>
  <c r="GB115" i="1" l="1"/>
  <c r="GB116" i="1" s="1"/>
  <c r="GH109" i="1" s="1"/>
  <c r="GH110" i="1" s="1"/>
  <c r="GJ110" i="1" s="1"/>
  <c r="GH111" i="1" l="1"/>
  <c r="GJ111" i="1" s="1"/>
  <c r="GH112" i="1" s="1"/>
  <c r="GH113" i="1" s="1"/>
  <c r="GH114" i="1" l="1"/>
  <c r="GH115" i="1" s="1"/>
  <c r="GH116" i="1" s="1"/>
  <c r="GH117" i="1" s="1"/>
  <c r="GH118" i="1" s="1"/>
  <c r="GH119" i="1" s="1"/>
  <c r="GH120" i="1" l="1"/>
  <c r="GL114" i="1" l="1"/>
  <c r="GL113" i="1"/>
  <c r="GL115" i="1" l="1"/>
  <c r="GL116" i="1" s="1"/>
  <c r="GR109" i="1" s="1"/>
  <c r="GR110" i="1" s="1"/>
  <c r="GT110" i="1" s="1"/>
  <c r="GR111" i="1" l="1"/>
  <c r="GT111" i="1" s="1"/>
  <c r="GR112" i="1" s="1"/>
  <c r="GR113" i="1" l="1"/>
  <c r="GR114" i="1"/>
  <c r="GR115" i="1" l="1"/>
  <c r="GR116" i="1" s="1"/>
  <c r="GR117" i="1" s="1"/>
  <c r="GR118" i="1" s="1"/>
  <c r="GR119" i="1" s="1"/>
  <c r="GR120" i="1" l="1"/>
  <c r="GV113" i="1" l="1"/>
  <c r="GV114" i="1"/>
  <c r="GV115" i="1" l="1"/>
  <c r="GV116" i="1" l="1"/>
  <c r="HB109" i="1" s="1"/>
  <c r="HB110" i="1" s="1"/>
  <c r="HD110" i="1" s="1"/>
  <c r="HB111" i="1"/>
  <c r="HD111" i="1" l="1"/>
  <c r="HB112" i="1" s="1"/>
  <c r="HB113" i="1" s="1"/>
  <c r="HB114" i="1" l="1"/>
  <c r="HB115" i="1" s="1"/>
  <c r="HB116" i="1" s="1"/>
  <c r="HB117" i="1" s="1"/>
  <c r="HB118" i="1" s="1"/>
  <c r="HB119" i="1" s="1"/>
  <c r="HB120" i="1" l="1"/>
  <c r="HF113" i="1" l="1"/>
  <c r="HF114" i="1"/>
  <c r="HE118" i="1"/>
  <c r="HF115" i="1" l="1"/>
  <c r="HF116" i="1" l="1"/>
  <c r="HL109" i="1" s="1"/>
  <c r="HL110" i="1" s="1"/>
  <c r="HN110" i="1" s="1"/>
  <c r="HL111" i="1"/>
  <c r="HN111" i="1" l="1"/>
  <c r="HL112" i="1" s="1"/>
  <c r="HL114" i="1" s="1"/>
  <c r="HL113" i="1" l="1"/>
  <c r="HL115" i="1" s="1"/>
  <c r="HL116" i="1" s="1"/>
  <c r="HL117" i="1" s="1"/>
  <c r="HL118" i="1" s="1"/>
  <c r="HL119" i="1" s="1"/>
  <c r="HL120" i="1" s="1"/>
  <c r="HP114" i="1" l="1"/>
  <c r="HP118" i="1"/>
  <c r="HP113" i="1"/>
  <c r="HP115" i="1" l="1"/>
  <c r="HP116" i="1" s="1"/>
  <c r="HV109" i="1" s="1"/>
  <c r="HV110" i="1" s="1"/>
  <c r="HX110" i="1" s="1"/>
  <c r="HV111" i="1" l="1"/>
  <c r="HX111" i="1" s="1"/>
  <c r="HV112" i="1" s="1"/>
  <c r="HV114" i="1" s="1"/>
  <c r="HV113" i="1" l="1"/>
  <c r="HV115" i="1" s="1"/>
  <c r="HV116" i="1" s="1"/>
  <c r="HV117" i="1" s="1"/>
  <c r="HV118" i="1" s="1"/>
  <c r="HV119" i="1" s="1"/>
  <c r="HV120" i="1" l="1"/>
  <c r="HZ114" i="1" l="1"/>
  <c r="HZ118" i="1"/>
  <c r="HZ113" i="1"/>
  <c r="HZ115" i="1" l="1"/>
  <c r="HZ116" i="1" s="1"/>
  <c r="IF109" i="1" s="1"/>
  <c r="IF110" i="1" s="1"/>
  <c r="IH110" i="1" s="1"/>
  <c r="IF111" i="1" l="1"/>
  <c r="IH111" i="1" s="1"/>
  <c r="IF112" i="1" s="1"/>
  <c r="IF113" i="1" s="1"/>
  <c r="IF114" i="1" l="1"/>
  <c r="IF115" i="1" s="1"/>
  <c r="IF116" i="1" s="1"/>
  <c r="IF117" i="1" s="1"/>
  <c r="IF118" i="1" s="1"/>
  <c r="IF119" i="1" s="1"/>
  <c r="IF120" i="1" s="1"/>
  <c r="IJ118" i="1" l="1"/>
  <c r="IJ114" i="1"/>
  <c r="IJ113" i="1"/>
  <c r="IJ115" i="1" l="1"/>
  <c r="IJ116" i="1" l="1"/>
  <c r="IP109" i="1" s="1"/>
  <c r="IP110" i="1" s="1"/>
  <c r="IR110" i="1" s="1"/>
  <c r="IP111" i="1"/>
  <c r="IR111" i="1" l="1"/>
  <c r="IP112" i="1" s="1"/>
  <c r="IP114" i="1" s="1"/>
  <c r="IP113" i="1" l="1"/>
  <c r="IP115" i="1" s="1"/>
  <c r="IP116" i="1" s="1"/>
  <c r="IP117" i="1" s="1"/>
  <c r="IP118" i="1" s="1"/>
  <c r="IP119" i="1" s="1"/>
  <c r="IP120" i="1" l="1"/>
  <c r="IT114" i="1" l="1"/>
  <c r="IT118" i="1"/>
  <c r="IT113" i="1"/>
  <c r="IT115" i="1" l="1"/>
  <c r="IT116" i="1" s="1"/>
  <c r="IZ109" i="1" s="1"/>
  <c r="IZ110" i="1" s="1"/>
  <c r="JB110" i="1" s="1"/>
  <c r="IZ111" i="1" l="1"/>
  <c r="JB111" i="1" s="1"/>
  <c r="IZ112" i="1" s="1"/>
  <c r="IZ114" i="1" s="1"/>
  <c r="IZ113" i="1" l="1"/>
  <c r="IZ115" i="1" s="1"/>
  <c r="IZ116" i="1" s="1"/>
  <c r="IZ117" i="1" s="1"/>
  <c r="IZ118" i="1" s="1"/>
  <c r="IZ119" i="1" s="1"/>
  <c r="IZ120" i="1" l="1"/>
  <c r="JD114" i="1" l="1"/>
  <c r="JD118" i="1"/>
  <c r="JD113" i="1"/>
  <c r="JD115" i="1" l="1"/>
  <c r="JD116" i="1" s="1"/>
  <c r="JJ109" i="1" s="1"/>
  <c r="JJ110" i="1" s="1"/>
  <c r="JL110" i="1" s="1"/>
  <c r="JJ111" i="1" l="1"/>
  <c r="JL111" i="1" s="1"/>
  <c r="JJ112" i="1" s="1"/>
  <c r="JJ114" i="1" s="1"/>
  <c r="JJ113" i="1" l="1"/>
  <c r="JJ115" i="1" s="1"/>
  <c r="JJ116" i="1" s="1"/>
  <c r="JJ117" i="1" s="1"/>
  <c r="JJ118" i="1" s="1"/>
  <c r="JJ119" i="1" s="1"/>
  <c r="JJ120" i="1" s="1"/>
  <c r="JV109" i="1" l="1"/>
  <c r="JX109" i="1" s="1"/>
  <c r="JN113" i="1"/>
  <c r="JN114" i="1"/>
  <c r="JN118" i="1"/>
  <c r="JV110" i="1" l="1"/>
  <c r="JX110" i="1" s="1"/>
  <c r="F120" i="1" s="1"/>
  <c r="JN115" i="1"/>
  <c r="JN116" i="1" s="1"/>
  <c r="JV111" i="1"/>
  <c r="C120" i="1" s="1"/>
</calcChain>
</file>

<file path=xl/comments1.xml><?xml version="1.0" encoding="utf-8"?>
<comments xmlns="http://schemas.openxmlformats.org/spreadsheetml/2006/main">
  <authors>
    <author>Friedrich, Norman - NRCS, West Union, IA</author>
  </authors>
  <commentList>
    <comment ref="B20" authorId="0" shapeId="0">
      <text>
        <r>
          <rPr>
            <sz val="9"/>
            <color indexed="81"/>
            <rFont val="Tahoma"/>
            <family val="2"/>
          </rPr>
          <t>The EFT Utilities&gt;&gt; Hydraulics &gt;&gt; Channel flow formula can help estimate a Tailwater elevation.</t>
        </r>
      </text>
    </comment>
  </commentList>
</comments>
</file>

<file path=xl/sharedStrings.xml><?xml version="1.0" encoding="utf-8"?>
<sst xmlns="http://schemas.openxmlformats.org/spreadsheetml/2006/main" count="955" uniqueCount="538">
  <si>
    <t>Culvert Analysis Spreadsheet</t>
  </si>
  <si>
    <t>Client:</t>
  </si>
  <si>
    <t>Design By:</t>
  </si>
  <si>
    <t>Comments:</t>
  </si>
  <si>
    <t>County:</t>
  </si>
  <si>
    <t>Checked By:</t>
  </si>
  <si>
    <t xml:space="preserve">Date:  </t>
  </si>
  <si>
    <t>Culvert Material</t>
  </si>
  <si>
    <t>Concrete</t>
  </si>
  <si>
    <t>Entrance Type</t>
  </si>
  <si>
    <t>Ke</t>
  </si>
  <si>
    <t>Source:  FHWA "Hydraulic Design of Highway Culverts", Table 12, 1985.</t>
  </si>
  <si>
    <t xml:space="preserve">Select Culvert Material:  </t>
  </si>
  <si>
    <t xml:space="preserve">Select Culvert Inlet Type:  </t>
  </si>
  <si>
    <t xml:space="preserve"> Feet</t>
  </si>
  <si>
    <t xml:space="preserve"> Inches</t>
  </si>
  <si>
    <t>Constants for Inlet Control Design Equations</t>
  </si>
  <si>
    <t>Source:  FHWA "Hydraulic Design of Highway Culverts", Table 9, 1985.</t>
  </si>
  <si>
    <t>Entrance Type Description</t>
  </si>
  <si>
    <t>Equation</t>
  </si>
  <si>
    <t>Form</t>
  </si>
  <si>
    <t>K</t>
  </si>
  <si>
    <t>M</t>
  </si>
  <si>
    <t xml:space="preserve">  Unsubmerged Constants</t>
  </si>
  <si>
    <t>c</t>
  </si>
  <si>
    <t>Y</t>
  </si>
  <si>
    <t xml:space="preserve">   Submerged Constants</t>
  </si>
  <si>
    <t>feet</t>
  </si>
  <si>
    <t>Diameter, D</t>
  </si>
  <si>
    <t>ft/ft</t>
  </si>
  <si>
    <r>
      <t>ft</t>
    </r>
    <r>
      <rPr>
        <vertAlign val="superscript"/>
        <sz val="11"/>
        <color theme="1"/>
        <rFont val="Calibri"/>
        <family val="2"/>
        <scheme val="minor"/>
      </rPr>
      <t>2</t>
    </r>
  </si>
  <si>
    <t>HW/D =</t>
  </si>
  <si>
    <t>Culvert Shape</t>
  </si>
  <si>
    <t>Circular</t>
  </si>
  <si>
    <t>Headwall - Square Edge</t>
  </si>
  <si>
    <t>Headwall - Groove Edge</t>
  </si>
  <si>
    <t>Projecting - Groove Edge</t>
  </si>
  <si>
    <t>Miter/Square/2:1 Slope</t>
  </si>
  <si>
    <t>Projecting - Thin Edge</t>
  </si>
  <si>
    <t xml:space="preserve">Manning's n value:  </t>
  </si>
  <si>
    <t>Projecting - Square Edge</t>
  </si>
  <si>
    <t xml:space="preserve">M = </t>
  </si>
  <si>
    <t>K =</t>
  </si>
  <si>
    <t>q=</t>
  </si>
  <si>
    <r>
      <t>Hw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/D = </t>
    </r>
  </si>
  <si>
    <t xml:space="preserve">0.5S = </t>
  </si>
  <si>
    <t>For non mitered inlets</t>
  </si>
  <si>
    <t>0.7S =</t>
  </si>
  <si>
    <t>For mitered inlets ( use -ve value)</t>
  </si>
  <si>
    <t xml:space="preserve">c = </t>
  </si>
  <si>
    <r>
      <t>AD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 xml:space="preserve"> =</t>
    </r>
  </si>
  <si>
    <r>
      <t>Q/(AD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) =</t>
    </r>
  </si>
  <si>
    <r>
      <t>Q</t>
    </r>
    <r>
      <rPr>
        <vertAlign val="subscript"/>
        <sz val="11"/>
        <color theme="1"/>
        <rFont val="Calibri"/>
        <family val="2"/>
        <scheme val="minor"/>
      </rPr>
      <t>orifice</t>
    </r>
    <r>
      <rPr>
        <sz val="11"/>
        <color theme="1"/>
        <rFont val="Calibri"/>
        <family val="2"/>
        <scheme val="minor"/>
      </rPr>
      <t xml:space="preserve"> = </t>
    </r>
  </si>
  <si>
    <t>Assumed Q =</t>
  </si>
  <si>
    <t>ft</t>
  </si>
  <si>
    <t>inches</t>
  </si>
  <si>
    <r>
      <t>H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 d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+V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/2g =</t>
    </r>
  </si>
  <si>
    <r>
      <t>Q</t>
    </r>
    <r>
      <rPr>
        <vertAlign val="subscript"/>
        <sz val="11"/>
        <color theme="1"/>
        <rFont val="Calibri"/>
        <family val="2"/>
        <scheme val="minor"/>
      </rPr>
      <t>inlet control</t>
    </r>
    <r>
      <rPr>
        <sz val="11"/>
        <color theme="1"/>
        <rFont val="Calibri"/>
        <family val="2"/>
        <scheme val="minor"/>
      </rPr>
      <t xml:space="preserve"> = </t>
    </r>
  </si>
  <si>
    <r>
      <t>Q</t>
    </r>
    <r>
      <rPr>
        <vertAlign val="subscript"/>
        <sz val="11"/>
        <color theme="1"/>
        <rFont val="Calibri"/>
        <family val="2"/>
        <scheme val="minor"/>
      </rPr>
      <t>outlet control</t>
    </r>
    <r>
      <rPr>
        <sz val="11"/>
        <color theme="1"/>
        <rFont val="Calibri"/>
        <family val="2"/>
        <scheme val="minor"/>
      </rPr>
      <t xml:space="preserve"> = </t>
    </r>
  </si>
  <si>
    <t>For Outlet control with tailwater above ((0.6 x Diameter) + (culvert outlet invert elevation))</t>
  </si>
  <si>
    <r>
      <t>Q</t>
    </r>
    <r>
      <rPr>
        <vertAlign val="subscript"/>
        <sz val="11"/>
        <color theme="1"/>
        <rFont val="Calibri"/>
        <family val="2"/>
        <scheme val="minor"/>
      </rPr>
      <t xml:space="preserve">outlet control </t>
    </r>
    <r>
      <rPr>
        <sz val="11"/>
        <color theme="1"/>
        <rFont val="Calibri"/>
        <family val="2"/>
        <scheme val="minor"/>
      </rPr>
      <t xml:space="preserve">= </t>
    </r>
  </si>
  <si>
    <t>Head =</t>
  </si>
  <si>
    <t>Open Channel Flow Approximation:</t>
  </si>
  <si>
    <t>V =</t>
  </si>
  <si>
    <t>A=</t>
  </si>
  <si>
    <t>P =</t>
  </si>
  <si>
    <t>R =</t>
  </si>
  <si>
    <t xml:space="preserve">CAPACITY = </t>
  </si>
  <si>
    <t>Headwater Elevation EQUALS Tailwater Elevation - NO FLOW!</t>
  </si>
  <si>
    <t>ERROR!  Headwater Elevation is LESS THAN Tailwater Elevation!</t>
  </si>
  <si>
    <t>Reference:  FHWA "Hydraulic Design of Highway Culverts"</t>
  </si>
  <si>
    <t>For Outlet control with tailwater assumed to be at ((0.6 x Diameter) + (culvert outlet invert elevation))</t>
  </si>
  <si>
    <t>Head on Orifice:</t>
  </si>
  <si>
    <t>Ave Q =</t>
  </si>
  <si>
    <t xml:space="preserve">Check for Convergence:  </t>
  </si>
  <si>
    <t>Percent</t>
  </si>
  <si>
    <t>INLET CONTROLS (Submerged Equation)</t>
  </si>
  <si>
    <t>INLET CONTROLS (Unsubmerged Equation)</t>
  </si>
  <si>
    <t>USE:</t>
  </si>
  <si>
    <t>Q calculated for minimum V (either slope = culvert slope, or slope = W.S. Slope)</t>
  </si>
  <si>
    <t>Ave of Submerged and Unsubmerged Qs for Q/(AD^0.5) between 3.5 and 4</t>
  </si>
  <si>
    <t xml:space="preserve">Capacity = </t>
  </si>
  <si>
    <t>INLET CONTROLS (Between Submerged and Unsubmerged Average Q Used)</t>
  </si>
  <si>
    <t>Limitations of the Culvert Analysis Spreadsheet:</t>
  </si>
  <si>
    <t>Description:</t>
  </si>
  <si>
    <t>Calculations:</t>
  </si>
  <si>
    <t>Reference:  HY8 User Guide</t>
  </si>
  <si>
    <t>"n" Value</t>
  </si>
  <si>
    <t>From HY8 User Guide - same as for Concrete Pipe Square Edge with Headwall</t>
  </si>
  <si>
    <t>From HY8 User Guide - same as for Corrugated Metal Pipe culvert, Mitered to conform to slope</t>
  </si>
  <si>
    <t>From HY8 User Guide - same as for CMP Projecting - Thin Edge</t>
  </si>
  <si>
    <t>From HY8 User Guide - same as for Corrugated Metal Pipe culvert with Headwall</t>
  </si>
  <si>
    <t>Reference?  Or use the same as headwall - square edge.  See Hydraulic Design of Highway Culverts 3rd sentence of last paragraph on p. 25</t>
  </si>
  <si>
    <t>PVC_Plastic</t>
  </si>
  <si>
    <t>Corrugated_PE</t>
  </si>
  <si>
    <t>Smooth_HDPE</t>
  </si>
  <si>
    <t>HY8 Federal Highway Administration's Culvert Analysis Program User Guide</t>
  </si>
  <si>
    <t>US Army Corps of Engineers, Hydrologic Engineering Center (HEC), HEC-RAS, River Analysis System Hydraulic Reference Manual, March 2008</t>
  </si>
  <si>
    <t>Manning's "n" Values:</t>
  </si>
  <si>
    <t>Culvert Entrance Type:</t>
  </si>
  <si>
    <t>Note:  This equation applies for Q/(AD^0.5)&lt;= ~3.5</t>
  </si>
  <si>
    <t>Note:  This equation only applies for Q/(AD^0.5)&gt;~4.0</t>
  </si>
  <si>
    <r>
      <rPr>
        <b/>
        <sz val="11"/>
        <color theme="1"/>
        <rFont val="Calibri"/>
        <family val="2"/>
        <scheme val="minor"/>
      </rPr>
      <t xml:space="preserve">Check for Outlet Control: </t>
    </r>
    <r>
      <rPr>
        <sz val="11"/>
        <color theme="1"/>
        <rFont val="Calibri"/>
        <family val="2"/>
        <scheme val="minor"/>
      </rPr>
      <t xml:space="preserve"> Note that this applies only for </t>
    </r>
    <r>
      <rPr>
        <b/>
        <sz val="11"/>
        <color theme="1"/>
        <rFont val="Calibri"/>
        <family val="2"/>
        <scheme val="minor"/>
      </rPr>
      <t>full</t>
    </r>
    <r>
      <rPr>
        <sz val="11"/>
        <color theme="1"/>
        <rFont val="Calibri"/>
        <family val="2"/>
        <scheme val="minor"/>
      </rPr>
      <t xml:space="preserve"> culvert barrel flow conditions</t>
    </r>
  </si>
  <si>
    <t xml:space="preserve">Check For Orifice Control:   </t>
  </si>
  <si>
    <t xml:space="preserve">    Orifice Equation:  0.6A(2gH)^0.5</t>
  </si>
  <si>
    <t xml:space="preserve">Wetted Perimeter = </t>
  </si>
  <si>
    <t xml:space="preserve">Area = </t>
  </si>
  <si>
    <t xml:space="preserve">Hydraulic Radius = </t>
  </si>
  <si>
    <t>Hydraulic Design of Highway Culverts, Hydraulic Design Series No. 5, US Department of Transportation, Federal Highway Administration, Revised May 2005</t>
  </si>
  <si>
    <t>Final "Full Flow" Outlet Control Value:</t>
  </si>
  <si>
    <r>
      <t>Q</t>
    </r>
    <r>
      <rPr>
        <vertAlign val="subscript"/>
        <sz val="11"/>
        <color theme="1"/>
        <rFont val="Calibri"/>
        <family val="2"/>
        <scheme val="minor"/>
      </rPr>
      <t>full flow outlet control</t>
    </r>
    <r>
      <rPr>
        <sz val="11"/>
        <color theme="1"/>
        <rFont val="Calibri"/>
        <family val="2"/>
        <scheme val="minor"/>
      </rPr>
      <t xml:space="preserve">=  </t>
    </r>
  </si>
  <si>
    <t xml:space="preserve">HW Depth = </t>
  </si>
  <si>
    <t xml:space="preserve">Tailwater (TW) Depth = </t>
  </si>
  <si>
    <t>Headwater (HW)</t>
  </si>
  <si>
    <t xml:space="preserve">For Assumed Q,         Sn =  </t>
  </si>
  <si>
    <t xml:space="preserve">dc =  </t>
  </si>
  <si>
    <t xml:space="preserve">HGL Elev @ outlet =  </t>
  </si>
  <si>
    <t xml:space="preserve">HW Elev =  </t>
  </si>
  <si>
    <t>Assumed Q1 =</t>
  </si>
  <si>
    <t>OUTLET CONTROLS - Full Flow</t>
  </si>
  <si>
    <t>OUTLET CONTROLS - "Part Full" Equations Used</t>
  </si>
  <si>
    <t xml:space="preserve">Friction Loss Kf = </t>
  </si>
  <si>
    <t>The equations that were used for inlet control (submerged and unsubmerged) and for outlet control (full flow and part full) were taken from Reference 1 below.</t>
  </si>
  <si>
    <r>
      <t>Culvert Entrance Conditions:</t>
    </r>
    <r>
      <rPr>
        <b/>
        <sz val="24"/>
        <color theme="1"/>
        <rFont val="Calibri"/>
        <family val="2"/>
        <scheme val="minor"/>
      </rPr>
      <t xml:space="preserve">   </t>
    </r>
  </si>
  <si>
    <r>
      <rPr>
        <b/>
        <sz val="18"/>
        <color theme="1"/>
        <rFont val="Calibri"/>
        <family val="2"/>
        <scheme val="minor"/>
      </rPr>
      <t>Corrugated PE</t>
    </r>
    <r>
      <rPr>
        <sz val="18"/>
        <color theme="1"/>
        <rFont val="Calibri"/>
        <family val="2"/>
        <scheme val="minor"/>
      </rPr>
      <t xml:space="preserve"> culverts that are mitered to conform to the slope)</t>
    </r>
  </si>
  <si>
    <t>with the socket end projecting from the fill)</t>
  </si>
  <si>
    <r>
      <rPr>
        <b/>
        <u/>
        <sz val="18"/>
        <color theme="1"/>
        <rFont val="Calibri"/>
        <family val="2"/>
        <scheme val="minor"/>
      </rPr>
      <t>Projecting Groove Edge</t>
    </r>
    <r>
      <rPr>
        <sz val="18"/>
        <color theme="1"/>
        <rFont val="Calibri"/>
        <family val="2"/>
        <scheme val="minor"/>
      </rPr>
      <t xml:space="preserve"> (Applies only to </t>
    </r>
    <r>
      <rPr>
        <b/>
        <sz val="18"/>
        <color theme="1"/>
        <rFont val="Calibri"/>
        <family val="2"/>
        <scheme val="minor"/>
      </rPr>
      <t>Concrete</t>
    </r>
    <r>
      <rPr>
        <sz val="18"/>
        <color theme="1"/>
        <rFont val="Calibri"/>
        <family val="2"/>
        <scheme val="minor"/>
      </rPr>
      <t xml:space="preserve"> Culverts </t>
    </r>
  </si>
  <si>
    <r>
      <t xml:space="preserve">Smooth </t>
    </r>
    <r>
      <rPr>
        <b/>
        <sz val="18"/>
        <color theme="1"/>
        <rFont val="Calibri"/>
        <family val="2"/>
        <scheme val="minor"/>
      </rPr>
      <t>HDPE</t>
    </r>
    <r>
      <rPr>
        <sz val="18"/>
        <color theme="1"/>
        <rFont val="Calibri"/>
        <family val="2"/>
        <scheme val="minor"/>
      </rPr>
      <t xml:space="preserve"> or </t>
    </r>
    <r>
      <rPr>
        <b/>
        <sz val="18"/>
        <color theme="1"/>
        <rFont val="Calibri"/>
        <family val="2"/>
        <scheme val="minor"/>
      </rPr>
      <t>Corrugated PE</t>
    </r>
    <r>
      <rPr>
        <sz val="18"/>
        <color theme="1"/>
        <rFont val="Calibri"/>
        <family val="2"/>
        <scheme val="minor"/>
      </rPr>
      <t xml:space="preserve"> culverts projecting from the fill)</t>
    </r>
  </si>
  <si>
    <t>non-socket end of the pipe projecting from the fill)</t>
  </si>
  <si>
    <r>
      <rPr>
        <b/>
        <u/>
        <sz val="18"/>
        <color theme="1"/>
        <rFont val="Calibri"/>
        <family val="2"/>
        <scheme val="minor"/>
      </rPr>
      <t>Projecting Square Edge</t>
    </r>
    <r>
      <rPr>
        <sz val="18"/>
        <color theme="1"/>
        <rFont val="Calibri"/>
        <family val="2"/>
        <scheme val="minor"/>
      </rPr>
      <t xml:space="preserve"> (Applies to </t>
    </r>
    <r>
      <rPr>
        <b/>
        <sz val="18"/>
        <color theme="1"/>
        <rFont val="Calibri"/>
        <family val="2"/>
        <scheme val="minor"/>
      </rPr>
      <t>Concrete</t>
    </r>
    <r>
      <rPr>
        <sz val="18"/>
        <color theme="1"/>
        <rFont val="Calibri"/>
        <family val="2"/>
        <scheme val="minor"/>
      </rPr>
      <t xml:space="preserve"> Culverts for </t>
    </r>
  </si>
  <si>
    <r>
      <rPr>
        <b/>
        <u/>
        <sz val="18"/>
        <color theme="1"/>
        <rFont val="Calibri"/>
        <family val="2"/>
        <scheme val="minor"/>
      </rPr>
      <t>Projecting Thin Edge</t>
    </r>
    <r>
      <rPr>
        <sz val="18"/>
        <color theme="1"/>
        <rFont val="Calibri"/>
        <family val="2"/>
        <scheme val="minor"/>
      </rPr>
      <t xml:space="preserve"> (Applies to Corrugated Metal Pipe (</t>
    </r>
    <r>
      <rPr>
        <b/>
        <sz val="18"/>
        <color theme="1"/>
        <rFont val="Calibri"/>
        <family val="2"/>
        <scheme val="minor"/>
      </rPr>
      <t>CMP</t>
    </r>
    <r>
      <rPr>
        <sz val="18"/>
        <color theme="1"/>
        <rFont val="Calibri"/>
        <family val="2"/>
        <scheme val="minor"/>
      </rPr>
      <t xml:space="preserve">), </t>
    </r>
  </si>
  <si>
    <r>
      <rPr>
        <b/>
        <u/>
        <sz val="18"/>
        <color theme="1"/>
        <rFont val="Calibri"/>
        <family val="2"/>
        <scheme val="minor"/>
      </rPr>
      <t>Headwall – Groove Edge</t>
    </r>
    <r>
      <rPr>
        <sz val="18"/>
        <color theme="1"/>
        <rFont val="Calibri"/>
        <family val="2"/>
        <scheme val="minor"/>
      </rPr>
      <t xml:space="preserve"> (applies to </t>
    </r>
    <r>
      <rPr>
        <b/>
        <sz val="18"/>
        <color theme="1"/>
        <rFont val="Calibri"/>
        <family val="2"/>
        <scheme val="minor"/>
      </rPr>
      <t>Concrete pipe</t>
    </r>
    <r>
      <rPr>
        <sz val="18"/>
        <color theme="1"/>
        <rFont val="Calibri"/>
        <family val="2"/>
        <scheme val="minor"/>
      </rPr>
      <t xml:space="preserve"> with the </t>
    </r>
  </si>
  <si>
    <t>socket end in combination with a concrete headwall)</t>
  </si>
  <si>
    <r>
      <rPr>
        <b/>
        <sz val="18"/>
        <color theme="1"/>
        <rFont val="Calibri"/>
        <family val="2"/>
        <scheme val="minor"/>
      </rPr>
      <t>Smooth HDPE</t>
    </r>
    <r>
      <rPr>
        <sz val="18"/>
        <color theme="1"/>
        <rFont val="Calibri"/>
        <family val="2"/>
        <scheme val="minor"/>
      </rPr>
      <t xml:space="preserve">, or </t>
    </r>
    <r>
      <rPr>
        <b/>
        <sz val="18"/>
        <color theme="1"/>
        <rFont val="Calibri"/>
        <family val="2"/>
        <scheme val="minor"/>
      </rPr>
      <t>Corrugated PE</t>
    </r>
    <r>
      <rPr>
        <sz val="18"/>
        <color theme="1"/>
        <rFont val="Calibri"/>
        <family val="2"/>
        <scheme val="minor"/>
      </rPr>
      <t xml:space="preserve"> culverts with a concrete </t>
    </r>
  </si>
  <si>
    <t>headwall and a square edge entrance)</t>
  </si>
  <si>
    <r>
      <rPr>
        <b/>
        <u/>
        <sz val="18"/>
        <color theme="1"/>
        <rFont val="Calibri"/>
        <family val="2"/>
        <scheme val="minor"/>
      </rPr>
      <t>Headwall – Square Edge</t>
    </r>
    <r>
      <rPr>
        <sz val="18"/>
        <color theme="1"/>
        <rFont val="Calibri"/>
        <family val="2"/>
        <scheme val="minor"/>
      </rPr>
      <t xml:space="preserve"> (applies to </t>
    </r>
    <r>
      <rPr>
        <b/>
        <sz val="18"/>
        <color theme="1"/>
        <rFont val="Calibri"/>
        <family val="2"/>
        <scheme val="minor"/>
      </rPr>
      <t>Concrete</t>
    </r>
    <r>
      <rPr>
        <sz val="18"/>
        <color theme="1"/>
        <rFont val="Calibri"/>
        <family val="2"/>
        <scheme val="minor"/>
      </rPr>
      <t xml:space="preserve">, </t>
    </r>
    <r>
      <rPr>
        <b/>
        <sz val="18"/>
        <color theme="1"/>
        <rFont val="Calibri"/>
        <family val="2"/>
        <scheme val="minor"/>
      </rPr>
      <t>CMP</t>
    </r>
    <r>
      <rPr>
        <sz val="18"/>
        <color theme="1"/>
        <rFont val="Calibri"/>
        <family val="2"/>
        <scheme val="minor"/>
      </rPr>
      <t xml:space="preserve">, </t>
    </r>
    <r>
      <rPr>
        <b/>
        <sz val="18"/>
        <color theme="1"/>
        <rFont val="Calibri"/>
        <family val="2"/>
        <scheme val="minor"/>
      </rPr>
      <t>PVC plastic</t>
    </r>
    <r>
      <rPr>
        <sz val="18"/>
        <color theme="1"/>
        <rFont val="Calibri"/>
        <family val="2"/>
        <scheme val="minor"/>
      </rPr>
      <t>,</t>
    </r>
  </si>
  <si>
    <r>
      <rPr>
        <b/>
        <u/>
        <sz val="18"/>
        <color theme="1"/>
        <rFont val="Calibri"/>
        <family val="2"/>
        <scheme val="minor"/>
      </rPr>
      <t>Miter/Square/2:1 Slope</t>
    </r>
    <r>
      <rPr>
        <b/>
        <sz val="18"/>
        <color theme="1"/>
        <rFont val="Calibri"/>
        <family val="2"/>
        <scheme val="minor"/>
      </rPr>
      <t xml:space="preserve"> </t>
    </r>
    <r>
      <rPr>
        <sz val="18"/>
        <color theme="1"/>
        <rFont val="Calibri"/>
        <family val="2"/>
        <scheme val="minor"/>
      </rPr>
      <t xml:space="preserve">(applies to </t>
    </r>
    <r>
      <rPr>
        <b/>
        <sz val="18"/>
        <color theme="1"/>
        <rFont val="Calibri"/>
        <family val="2"/>
        <scheme val="minor"/>
      </rPr>
      <t>CMP</t>
    </r>
    <r>
      <rPr>
        <sz val="18"/>
        <color theme="1"/>
        <rFont val="Calibri"/>
        <family val="2"/>
        <scheme val="minor"/>
      </rPr>
      <t xml:space="preserve">, </t>
    </r>
    <r>
      <rPr>
        <b/>
        <sz val="18"/>
        <color theme="1"/>
        <rFont val="Calibri"/>
        <family val="2"/>
        <scheme val="minor"/>
      </rPr>
      <t>PVC plastic</t>
    </r>
    <r>
      <rPr>
        <sz val="18"/>
        <color theme="1"/>
        <rFont val="Calibri"/>
        <family val="2"/>
        <scheme val="minor"/>
      </rPr>
      <t xml:space="preserve">, </t>
    </r>
    <r>
      <rPr>
        <b/>
        <sz val="18"/>
        <color theme="1"/>
        <rFont val="Calibri"/>
        <family val="2"/>
        <scheme val="minor"/>
      </rPr>
      <t>Smooth HDPE</t>
    </r>
    <r>
      <rPr>
        <sz val="18"/>
        <color theme="1"/>
        <rFont val="Calibri"/>
        <family val="2"/>
        <scheme val="minor"/>
      </rPr>
      <t xml:space="preserve"> or </t>
    </r>
  </si>
  <si>
    <r>
      <t xml:space="preserve">The spreadsheet checks for inlet control (submerged and unsubmerged), outlet control (full flow and part full), and </t>
    </r>
    <r>
      <rPr>
        <b/>
        <sz val="16"/>
        <color theme="1"/>
        <rFont val="Calibri"/>
        <family val="2"/>
        <scheme val="minor"/>
      </rPr>
      <t>approximate</t>
    </r>
    <r>
      <rPr>
        <sz val="16"/>
        <color theme="1"/>
        <rFont val="Calibri"/>
        <family val="2"/>
        <scheme val="minor"/>
      </rPr>
      <t xml:space="preserve"> free surface (channel flow) conditions.  </t>
    </r>
  </si>
  <si>
    <r>
      <rPr>
        <b/>
        <u/>
        <sz val="16"/>
        <color theme="1"/>
        <rFont val="Calibri"/>
        <family val="2"/>
        <scheme val="minor"/>
      </rPr>
      <t>References:</t>
    </r>
    <r>
      <rPr>
        <sz val="16"/>
        <color theme="1"/>
        <rFont val="Calibri"/>
        <family val="2"/>
        <scheme val="minor"/>
      </rPr>
      <t xml:space="preserve"> </t>
    </r>
  </si>
  <si>
    <r>
      <t>Q = AD</t>
    </r>
    <r>
      <rPr>
        <vertAlign val="superscript"/>
        <sz val="12"/>
        <color theme="1"/>
        <rFont val="Calibri"/>
        <family val="2"/>
        <scheme val="minor"/>
      </rPr>
      <t>0.5</t>
    </r>
    <r>
      <rPr>
        <sz val="12"/>
        <color theme="1"/>
        <rFont val="Calibri"/>
        <family val="2"/>
        <scheme val="minor"/>
      </rPr>
      <t xml:space="preserve"> * [ 1/K * (HW/D - H</t>
    </r>
    <r>
      <rPr>
        <vertAlign val="subscript"/>
        <sz val="12"/>
        <color theme="1"/>
        <rFont val="Calibri"/>
        <family val="2"/>
        <scheme val="minor"/>
      </rPr>
      <t>c</t>
    </r>
    <r>
      <rPr>
        <sz val="12"/>
        <color theme="1"/>
        <rFont val="Calibri"/>
        <family val="2"/>
        <scheme val="minor"/>
      </rPr>
      <t>/D + 0.5S)]</t>
    </r>
    <r>
      <rPr>
        <vertAlign val="superscript"/>
        <sz val="12"/>
        <color theme="1"/>
        <rFont val="Calibri"/>
        <family val="2"/>
        <scheme val="minor"/>
      </rPr>
      <t>1/m</t>
    </r>
  </si>
  <si>
    <t>1/K =</t>
  </si>
  <si>
    <r>
      <t>AD</t>
    </r>
    <r>
      <rPr>
        <vertAlign val="superscript"/>
        <sz val="12"/>
        <color theme="1"/>
        <rFont val="Calibri"/>
        <family val="2"/>
        <scheme val="minor"/>
      </rPr>
      <t>0.5</t>
    </r>
    <r>
      <rPr>
        <sz val="12"/>
        <color theme="1"/>
        <rFont val="Calibri"/>
        <family val="2"/>
        <scheme val="minor"/>
      </rPr>
      <t xml:space="preserve"> =   </t>
    </r>
  </si>
  <si>
    <t>0.5S (from above)</t>
  </si>
  <si>
    <t>Hc depends on Q</t>
  </si>
  <si>
    <t>dc =</t>
  </si>
  <si>
    <r>
      <t>H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/D = </t>
    </r>
  </si>
  <si>
    <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= Q/A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=</t>
    </r>
  </si>
  <si>
    <r>
      <t>Area at d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=</t>
    </r>
  </si>
  <si>
    <t>Error =</t>
  </si>
  <si>
    <r>
      <t>Check of Q/(AD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)</t>
    </r>
  </si>
  <si>
    <r>
      <t>Calculated Q</t>
    </r>
    <r>
      <rPr>
        <b/>
        <vertAlign val="subscript"/>
        <sz val="11"/>
        <color theme="1"/>
        <rFont val="Calibri"/>
        <family val="2"/>
        <scheme val="minor"/>
      </rPr>
      <t>unsub</t>
    </r>
    <r>
      <rPr>
        <b/>
        <sz val="11"/>
        <color theme="1"/>
        <rFont val="Calibri"/>
        <family val="2"/>
        <scheme val="minor"/>
      </rPr>
      <t xml:space="preserve"> =</t>
    </r>
  </si>
  <si>
    <t>Note:  Solution by Trial and Error Using "Data, Analysis, Solver" in Macro</t>
  </si>
  <si>
    <t>cfs</t>
  </si>
  <si>
    <t>degrees</t>
  </si>
  <si>
    <t>ft/sec</t>
  </si>
  <si>
    <t>HW Error =</t>
  </si>
  <si>
    <t>Final "Part Full" Outlet Control Q (If Applicable):</t>
  </si>
  <si>
    <t xml:space="preserve">Entrance Coefficient, Ke:  </t>
  </si>
  <si>
    <t>(dc + D)/2</t>
  </si>
  <si>
    <r>
      <t xml:space="preserve">This spreadsheet </t>
    </r>
    <r>
      <rPr>
        <b/>
        <i/>
        <sz val="16"/>
        <color theme="1"/>
        <rFont val="Calibri"/>
        <family val="2"/>
        <scheme val="minor"/>
      </rPr>
      <t xml:space="preserve">does not </t>
    </r>
    <r>
      <rPr>
        <sz val="16"/>
        <color theme="1"/>
        <rFont val="Calibri"/>
        <family val="2"/>
        <scheme val="minor"/>
      </rPr>
      <t xml:space="preserve">analyze road overtopping.  </t>
    </r>
  </si>
  <si>
    <r>
      <t xml:space="preserve">This spreadsheet provides an approximate culvert hydraulic analysis a variety of conditions.  However, it does </t>
    </r>
    <r>
      <rPr>
        <b/>
        <sz val="16"/>
        <color theme="1"/>
        <rFont val="Calibri"/>
        <family val="2"/>
        <scheme val="minor"/>
      </rPr>
      <t>not</t>
    </r>
    <r>
      <rPr>
        <sz val="16"/>
        <color theme="1"/>
        <rFont val="Calibri"/>
        <family val="2"/>
        <scheme val="minor"/>
      </rPr>
      <t xml:space="preserve"> include a detailed water surface profile analysis.  </t>
    </r>
  </si>
  <si>
    <t xml:space="preserve">Headwater (Upstream Water Surface) Elevation:  </t>
  </si>
  <si>
    <t xml:space="preserve">Culvert Inlet Invert Elevation:  </t>
  </si>
  <si>
    <t xml:space="preserve">Culvert Diameter:   </t>
  </si>
  <si>
    <t xml:space="preserve">Length of Culvert:  </t>
  </si>
  <si>
    <t xml:space="preserve">Culvert Outlet Invert Elevation:  </t>
  </si>
  <si>
    <t xml:space="preserve">Tailwater (Downstream) Elevation:  </t>
  </si>
  <si>
    <r>
      <t xml:space="preserve">The outlet control calculations use the assumption of a 1.0 for the exit coefficient (i.e. the downstream channel velocity is </t>
    </r>
    <r>
      <rPr>
        <b/>
        <sz val="16"/>
        <color theme="1"/>
        <rFont val="Calibri"/>
        <family val="2"/>
        <scheme val="minor"/>
      </rPr>
      <t>not</t>
    </r>
    <r>
      <rPr>
        <sz val="16"/>
        <color theme="1"/>
        <rFont val="Calibri"/>
        <family val="2"/>
        <scheme val="minor"/>
      </rPr>
      <t xml:space="preserve"> considered in the exit loss calculations).</t>
    </r>
  </si>
  <si>
    <t xml:space="preserve">If a restriction (e.g. another culvert or bridge) is located a short distance downstream of this site, or if detailed water surface profiles are required, another method, such as </t>
  </si>
  <si>
    <t>HEC-RAS (more complex, but detailed), or HY-8. should be used.</t>
  </si>
  <si>
    <t>It does not analyze partially filled (with rock or sediment) culverts.</t>
  </si>
  <si>
    <t>This spreadsheet applies to concrete (RCP), corrugated metal pipe (CMP), PVC plastic, Smooth HDPE, or Corrugated PE culvert materials.</t>
  </si>
  <si>
    <t>For very high headwater depths (e.g. greater than 15') another method (e.g. HEC-RAS or HY-8) is recommended for analysis.</t>
  </si>
  <si>
    <r>
      <t xml:space="preserve">A downstream tailwater elevation must be entered as input data, and the </t>
    </r>
    <r>
      <rPr>
        <b/>
        <i/>
        <sz val="16"/>
        <color theme="1"/>
        <rFont val="Calibri"/>
        <family val="2"/>
        <scheme val="minor"/>
      </rPr>
      <t>tailwater elevation</t>
    </r>
    <r>
      <rPr>
        <sz val="16"/>
        <color theme="1"/>
        <rFont val="Calibri"/>
        <family val="2"/>
        <scheme val="minor"/>
      </rPr>
      <t xml:space="preserve"> that is entered may </t>
    </r>
    <r>
      <rPr>
        <b/>
        <i/>
        <sz val="16"/>
        <color theme="1"/>
        <rFont val="Calibri"/>
        <family val="2"/>
        <scheme val="minor"/>
      </rPr>
      <t>significantly impact</t>
    </r>
    <r>
      <rPr>
        <sz val="16"/>
        <color theme="1"/>
        <rFont val="Calibri"/>
        <family val="2"/>
        <scheme val="minor"/>
      </rPr>
      <t xml:space="preserve"> the resulting computed culvert capacity. </t>
    </r>
  </si>
  <si>
    <t xml:space="preserve">Calculations are made for each potentially applicable condition;  however, the discharge for the controlling condition is selected and indicated directly below the </t>
  </si>
  <si>
    <t>input section near the top of the Culvert Analysis sheet.  The controlling condition is also indicated.</t>
  </si>
  <si>
    <t>Select the “Popular” option on the left side of the Excel Options screen and be sure that the option</t>
  </si>
  <si>
    <t>“Show Developer tab in the Ribbon” is selected:</t>
  </si>
  <si>
    <t>Then, select “Add‐Ins” option from the Excel Options window:</t>
  </si>
  <si>
    <t>At the bottom of the Add‐Ins Window, select “Manage: Excel Add‐ins” and then select “Go” and the</t>
  </si>
  <si>
    <t>following window will appear:</t>
  </si>
  <si>
    <t>In this window, select the “Analysis ToolPak”,</t>
  </si>
  <si>
    <t>“Lookup Wizard” and “Solver Add‐in” and then select</t>
  </si>
  <si>
    <t>“OK”.</t>
  </si>
  <si>
    <t>Administrative privileges are not needed to “install”</t>
  </si>
  <si>
    <t>so for these Add‐ins to be loaded.</t>
  </si>
  <si>
    <t>Calculations Completed For the Following Conditions:</t>
  </si>
  <si>
    <t xml:space="preserve">Conditions Unchanged from Those used for Calculations? </t>
  </si>
  <si>
    <r>
      <t>Check for Part Full Outlet Control (</t>
    </r>
    <r>
      <rPr>
        <b/>
        <sz val="11"/>
        <color theme="1"/>
        <rFont val="Calibri"/>
        <family val="2"/>
        <scheme val="minor"/>
      </rPr>
      <t xml:space="preserve">May Apply </t>
    </r>
    <r>
      <rPr>
        <sz val="11"/>
        <color theme="1"/>
        <rFont val="Calibri"/>
        <family val="2"/>
        <scheme val="minor"/>
      </rPr>
      <t xml:space="preserve">if the TW depth is &lt; culvert diameter </t>
    </r>
    <r>
      <rPr>
        <b/>
        <sz val="11"/>
        <color theme="1"/>
        <rFont val="Calibri"/>
        <family val="2"/>
        <scheme val="minor"/>
      </rPr>
      <t>AND</t>
    </r>
    <r>
      <rPr>
        <sz val="11"/>
        <color theme="1"/>
        <rFont val="Calibri"/>
        <family val="2"/>
        <scheme val="minor"/>
      </rPr>
      <t xml:space="preserve"> the HW depth is &gt;= 0.75*culvert diameter - p 38 of Reference)</t>
    </r>
  </si>
  <si>
    <r>
      <rPr>
        <b/>
        <sz val="12"/>
        <color theme="1"/>
        <rFont val="Calibri"/>
        <family val="2"/>
        <scheme val="minor"/>
      </rPr>
      <t xml:space="preserve">Unsubmerged Equation Form (1):  </t>
    </r>
    <r>
      <rPr>
        <b/>
        <u/>
        <sz val="12"/>
        <color theme="1"/>
        <rFont val="Calibri"/>
        <family val="2"/>
        <scheme val="minor"/>
      </rPr>
      <t>Reference:</t>
    </r>
    <r>
      <rPr>
        <sz val="12"/>
        <color theme="1"/>
        <rFont val="Calibri"/>
        <family val="2"/>
        <scheme val="minor"/>
      </rPr>
      <t xml:space="preserve">  FHWA  "Hydraulic Design of Highway Culverts", Table 8, p. 192, Revised 2005.</t>
    </r>
  </si>
  <si>
    <r>
      <t xml:space="preserve">Submerged Inlet control Equation:  </t>
    </r>
    <r>
      <rPr>
        <b/>
        <u/>
        <sz val="12"/>
        <color theme="1"/>
        <rFont val="Calibri"/>
        <family val="2"/>
        <scheme val="minor"/>
      </rPr>
      <t>Reference:</t>
    </r>
    <r>
      <rPr>
        <sz val="12"/>
        <color theme="1"/>
        <rFont val="Calibri"/>
        <family val="2"/>
        <scheme val="minor"/>
      </rPr>
      <t xml:space="preserve">  FHWA  "Hydraulic Design of Highway Culverts", Table 8, p. 192, Revised 2005.</t>
    </r>
  </si>
  <si>
    <r>
      <rPr>
        <b/>
        <u/>
        <sz val="11"/>
        <color theme="1"/>
        <rFont val="Calibri"/>
        <family val="2"/>
        <scheme val="minor"/>
      </rPr>
      <t>Reference:</t>
    </r>
    <r>
      <rPr>
        <sz val="11"/>
        <color theme="1"/>
        <rFont val="Calibri"/>
        <family val="2"/>
        <scheme val="minor"/>
      </rPr>
      <t xml:space="preserve">  FHWA "Hydraulic Design of Highway Culverts", pages 36 - 38, procedure for partly full outlet control conditions (as show in Figures III-7-D and E), Revised 2005.</t>
    </r>
  </si>
  <si>
    <t>P. 36 of Reference</t>
  </si>
  <si>
    <r>
      <t>Q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/g =</t>
    </r>
  </si>
  <si>
    <r>
      <t>A = 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/8 [2 cos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(1 - (2d/D)) - sin (2 cos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(1-(2d/D)))] =</t>
    </r>
  </si>
  <si>
    <t>T = D sin( cos-1( (2d - D)/D)) =</t>
  </si>
  <si>
    <r>
      <t>A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/ T =</t>
    </r>
  </si>
  <si>
    <r>
      <t>Need Q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/g = A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/T</t>
    </r>
  </si>
  <si>
    <t>Wetted Perimeter =</t>
  </si>
  <si>
    <t>Reference for Part Full Circular Section Equations:  Texas DOT Online Manual Section 2 Flow in Conduits http://onlinemanuals.txdot.gov/txdotmanuals/hyd/flow_in_conduits.htm</t>
  </si>
  <si>
    <t>Initial dc =</t>
  </si>
  <si>
    <t>From Chow Approx dc eqn</t>
  </si>
  <si>
    <t>Initial dc</t>
  </si>
  <si>
    <t>Initial Q =</t>
  </si>
  <si>
    <t>Minimum (Non Zero) of Inlet and Outlet Control Q's:</t>
  </si>
  <si>
    <t>Culvert Slope, S</t>
  </si>
  <si>
    <t xml:space="preserve">Entrance Losses = </t>
  </si>
  <si>
    <r>
      <t>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</si>
  <si>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>New A =</t>
  </si>
  <si>
    <t>New P =</t>
  </si>
  <si>
    <t>New R =</t>
  </si>
  <si>
    <t xml:space="preserve">New V = </t>
  </si>
  <si>
    <t>Check HW =</t>
  </si>
  <si>
    <t>Slope Used =</t>
  </si>
  <si>
    <t>Velocity Used =</t>
  </si>
  <si>
    <t>Initial HW Error (ft) =</t>
  </si>
  <si>
    <r>
      <rPr>
        <b/>
        <u/>
        <sz val="11"/>
        <color theme="1"/>
        <rFont val="Calibri"/>
        <family val="2"/>
        <scheme val="minor"/>
      </rPr>
      <t>Final Open Channel Flow Approximation</t>
    </r>
    <r>
      <rPr>
        <b/>
        <sz val="11"/>
        <color theme="1"/>
        <rFont val="Calibri"/>
        <family val="2"/>
        <scheme val="minor"/>
      </rPr>
      <t xml:space="preserve"> (After Iterations):</t>
    </r>
  </si>
  <si>
    <t>Free surface (channel flow) calculations are approximate.  They do not involve a detailed water surface profile analysis…</t>
  </si>
  <si>
    <r>
      <t xml:space="preserve">This spreadsheet applies to </t>
    </r>
    <r>
      <rPr>
        <b/>
        <sz val="16"/>
        <color theme="1"/>
        <rFont val="Calibri"/>
        <family val="2"/>
        <scheme val="minor"/>
      </rPr>
      <t>single</t>
    </r>
    <r>
      <rPr>
        <sz val="16"/>
        <color theme="1"/>
        <rFont val="Calibri"/>
        <family val="2"/>
        <scheme val="minor"/>
      </rPr>
      <t xml:space="preserve"> Circular Culverts only (not rectangular, elliptical or other shapes).</t>
    </r>
  </si>
  <si>
    <t>If you are having problems with getting the Macro's to Work in this Spreadsheet, please Select "Help for Macros" and Follow the instructions</t>
  </si>
  <si>
    <t>When the new window opens, select the “Excel Options” button at the bottom of this window.</t>
  </si>
  <si>
    <t>Select the Office Button in the upper left corner of the Excel Screen:</t>
  </si>
  <si>
    <t>Note that this spreadsheet was designed using Excel 2007.  If you are using Excel 2003 or earlier, the spreadsheet probably will not work!</t>
  </si>
  <si>
    <r>
      <rPr>
        <b/>
        <sz val="16"/>
        <color theme="1"/>
        <rFont val="Calibri"/>
        <family val="2"/>
        <scheme val="minor"/>
      </rPr>
      <t>If you are using this spreadsheet for the first time, it is important that you install several key Excel Options.</t>
    </r>
    <r>
      <rPr>
        <sz val="16"/>
        <color theme="1"/>
        <rFont val="Calibri"/>
        <family val="2"/>
        <scheme val="minor"/>
      </rPr>
      <t xml:space="preserve">  Select the "Help for Macros" button below and follow the instructions to install these options.</t>
    </r>
  </si>
  <si>
    <t>New User Information:</t>
  </si>
  <si>
    <t>If you are using this spreadsheet for the first time, it is important that you install several key Excel Options!</t>
  </si>
  <si>
    <t>Outputs:</t>
  </si>
  <si>
    <t>Inputs:</t>
  </si>
  <si>
    <t>It would help to print these instructions to use while you are installing these options</t>
  </si>
  <si>
    <t xml:space="preserve">Developed by:   </t>
  </si>
  <si>
    <t>Annette A. Humpal, P.E.</t>
  </si>
  <si>
    <t>NRCS - Appleton Area Office</t>
  </si>
  <si>
    <t>Hydraulic Engineer</t>
  </si>
  <si>
    <r>
      <t>Note that you do not need "Administrative Privileges" to install these options,</t>
    </r>
    <r>
      <rPr>
        <b/>
        <sz val="11"/>
        <color theme="1"/>
        <rFont val="Calibri"/>
        <family val="2"/>
        <scheme val="minor"/>
      </rPr>
      <t xml:space="preserve"> just follow these instructions</t>
    </r>
    <r>
      <rPr>
        <sz val="11"/>
        <color theme="1"/>
        <rFont val="Calibri"/>
        <family val="2"/>
        <scheme val="minor"/>
      </rPr>
      <t>:</t>
    </r>
  </si>
  <si>
    <r>
      <t xml:space="preserve">This spreadsheet should </t>
    </r>
    <r>
      <rPr>
        <b/>
        <sz val="16"/>
        <color theme="1"/>
        <rFont val="Calibri"/>
        <family val="2"/>
        <scheme val="minor"/>
      </rPr>
      <t>not</t>
    </r>
    <r>
      <rPr>
        <sz val="16"/>
        <color theme="1"/>
        <rFont val="Calibri"/>
        <family val="2"/>
        <scheme val="minor"/>
      </rPr>
      <t xml:space="preserve"> be used to analyze culverts with </t>
    </r>
    <r>
      <rPr>
        <b/>
        <sz val="16"/>
        <color theme="1"/>
        <rFont val="Calibri"/>
        <family val="2"/>
        <scheme val="minor"/>
      </rPr>
      <t>bends</t>
    </r>
    <r>
      <rPr>
        <sz val="16"/>
        <color theme="1"/>
        <rFont val="Calibri"/>
        <family val="2"/>
        <scheme val="minor"/>
      </rPr>
      <t xml:space="preserve"> or </t>
    </r>
    <r>
      <rPr>
        <b/>
        <sz val="16"/>
        <color theme="1"/>
        <rFont val="Calibri"/>
        <family val="2"/>
        <scheme val="minor"/>
      </rPr>
      <t>slope changes.</t>
    </r>
  </si>
  <si>
    <t xml:space="preserve">Check HW = </t>
  </si>
  <si>
    <t>Open Channel Flow Approximation (Q is APPROXIMATE)</t>
  </si>
  <si>
    <t>culvert slope (ft/ft)</t>
  </si>
  <si>
    <t>HW to TW slope (ft/ft)</t>
  </si>
  <si>
    <t xml:space="preserve">New V5 = </t>
  </si>
  <si>
    <t xml:space="preserve">New Q5 = </t>
  </si>
  <si>
    <t xml:space="preserve">New V6 = </t>
  </si>
  <si>
    <t xml:space="preserve">New V7 = </t>
  </si>
  <si>
    <t xml:space="preserve">New V8 = </t>
  </si>
  <si>
    <t xml:space="preserve">New V9 = </t>
  </si>
  <si>
    <t xml:space="preserve">New Q9 = </t>
  </si>
  <si>
    <t xml:space="preserve">New V11 = </t>
  </si>
  <si>
    <t xml:space="preserve">New Q11 = </t>
  </si>
  <si>
    <t xml:space="preserve">New A2 = </t>
  </si>
  <si>
    <t xml:space="preserve">New P2 = </t>
  </si>
  <si>
    <t xml:space="preserve">New R2 = </t>
  </si>
  <si>
    <t xml:space="preserve">New A3 = </t>
  </si>
  <si>
    <t xml:space="preserve">New P3 = </t>
  </si>
  <si>
    <t xml:space="preserve">New R3 = </t>
  </si>
  <si>
    <t xml:space="preserve">New A5 = </t>
  </si>
  <si>
    <t xml:space="preserve">New R5 = </t>
  </si>
  <si>
    <t xml:space="preserve">New P5 = </t>
  </si>
  <si>
    <t xml:space="preserve">New A7 = </t>
  </si>
  <si>
    <t xml:space="preserve">New P7 = </t>
  </si>
  <si>
    <t xml:space="preserve">New R7 = </t>
  </si>
  <si>
    <t xml:space="preserve">New A9 = </t>
  </si>
  <si>
    <t xml:space="preserve">New P9 = </t>
  </si>
  <si>
    <t xml:space="preserve">New R9 = </t>
  </si>
  <si>
    <t xml:space="preserve">New V10 = </t>
  </si>
  <si>
    <t xml:space="preserve">New A11 = </t>
  </si>
  <si>
    <t xml:space="preserve">New P11 = </t>
  </si>
  <si>
    <t xml:space="preserve">New R11 = </t>
  </si>
  <si>
    <t xml:space="preserve">New V12 = </t>
  </si>
  <si>
    <t>Min Slope:</t>
  </si>
  <si>
    <t xml:space="preserve"> ft/ft</t>
  </si>
  <si>
    <t>Starting Slope Range:  Max Slope:</t>
  </si>
  <si>
    <t>Average Slope:</t>
  </si>
  <si>
    <t>TW Depth =</t>
  </si>
  <si>
    <t>TW Critical Depth:</t>
  </si>
  <si>
    <t>ft (Ave TW and HW Depth)</t>
  </si>
  <si>
    <t xml:space="preserve">Ave Depth = </t>
  </si>
  <si>
    <t xml:space="preserve">  for slope = culvert slope </t>
  </si>
  <si>
    <t xml:space="preserve">  for HW to TW slope</t>
  </si>
  <si>
    <t>ft (Max of Actual &amp; Crit Depth TW)</t>
  </si>
  <si>
    <t>Velocity Head for Assumed Velocity:</t>
  </si>
  <si>
    <t>Approx. US WS Elev (in culvert just DS of Inlet) = (TW Elev + (Slope * Length)) =</t>
  </si>
  <si>
    <r>
      <t>New Average Depth = (HW</t>
    </r>
    <r>
      <rPr>
        <vertAlign val="subscript"/>
        <sz val="11"/>
        <color theme="1"/>
        <rFont val="Calibri"/>
        <family val="2"/>
        <scheme val="minor"/>
      </rPr>
      <t>depth</t>
    </r>
    <r>
      <rPr>
        <sz val="11"/>
        <color theme="1"/>
        <rFont val="Calibri"/>
        <family val="2"/>
        <scheme val="minor"/>
      </rPr>
      <t xml:space="preserve"> +TW </t>
    </r>
    <r>
      <rPr>
        <vertAlign val="subscript"/>
        <sz val="11"/>
        <color theme="1"/>
        <rFont val="Calibri"/>
        <family val="2"/>
        <scheme val="minor"/>
      </rPr>
      <t>depth</t>
    </r>
    <r>
      <rPr>
        <sz val="11"/>
        <color theme="1"/>
        <rFont val="Calibri"/>
        <family val="2"/>
        <scheme val="minor"/>
      </rPr>
      <t xml:space="preserve">)/2 = </t>
    </r>
  </si>
  <si>
    <t>New V =</t>
  </si>
  <si>
    <t>New Q =</t>
  </si>
  <si>
    <t>sq ft</t>
  </si>
  <si>
    <t>ft/s</t>
  </si>
  <si>
    <t>New Range:  Max Slope:</t>
  </si>
  <si>
    <t>Use Ave for New Slope:</t>
  </si>
  <si>
    <t xml:space="preserve">New V1 = </t>
  </si>
  <si>
    <t xml:space="preserve">Approx. US WS Elev (in culvert just DS of Inlet) = </t>
  </si>
  <si>
    <t xml:space="preserve">ft      US Depth = </t>
  </si>
  <si>
    <t xml:space="preserve">New Ave Depth 2 = </t>
  </si>
  <si>
    <t xml:space="preserve">New V2 = </t>
  </si>
  <si>
    <t xml:space="preserve">New Q2 = </t>
  </si>
  <si>
    <t xml:space="preserve">New V3 = </t>
  </si>
  <si>
    <r>
      <t>For New V3: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</si>
  <si>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3 = </t>
  </si>
  <si>
    <t xml:space="preserve">New V4 = </t>
  </si>
  <si>
    <t>For New V1:</t>
  </si>
  <si>
    <r>
      <t>For New V5: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</si>
  <si>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5 = </t>
  </si>
  <si>
    <t xml:space="preserve">New Q3 = </t>
  </si>
  <si>
    <r>
      <t>For New V7: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</si>
  <si>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7 = </t>
  </si>
  <si>
    <t xml:space="preserve">New Q7 = </t>
  </si>
  <si>
    <r>
      <t>For New V9: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</si>
  <si>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9 = </t>
  </si>
  <si>
    <r>
      <t>For New V11: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</si>
  <si>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11 = </t>
  </si>
  <si>
    <t xml:space="preserve">New V13 = </t>
  </si>
  <si>
    <r>
      <t>For New V13: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</si>
  <si>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13 = </t>
  </si>
  <si>
    <t xml:space="preserve">New A13 = </t>
  </si>
  <si>
    <t xml:space="preserve">New P13 = </t>
  </si>
  <si>
    <t xml:space="preserve">New R13 = </t>
  </si>
  <si>
    <t xml:space="preserve">New V14 = </t>
  </si>
  <si>
    <t xml:space="preserve">New Q13 = </t>
  </si>
  <si>
    <t xml:space="preserve">New V15 = </t>
  </si>
  <si>
    <r>
      <t>For New V15: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</si>
  <si>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15 = </t>
  </si>
  <si>
    <t xml:space="preserve">New A15 = </t>
  </si>
  <si>
    <t xml:space="preserve">New P15 = </t>
  </si>
  <si>
    <t xml:space="preserve">New R15 = </t>
  </si>
  <si>
    <t xml:space="preserve">New V16 = </t>
  </si>
  <si>
    <t xml:space="preserve">New Q15 = </t>
  </si>
  <si>
    <t xml:space="preserve">New V17 = </t>
  </si>
  <si>
    <r>
      <t>For New V17: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</si>
  <si>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17 = </t>
  </si>
  <si>
    <t xml:space="preserve">New A17 = </t>
  </si>
  <si>
    <t xml:space="preserve">New P17 = </t>
  </si>
  <si>
    <t xml:space="preserve">New R17 = </t>
  </si>
  <si>
    <t xml:space="preserve">New V18 = </t>
  </si>
  <si>
    <t xml:space="preserve">New Q17 = </t>
  </si>
  <si>
    <t xml:space="preserve">New V19 = </t>
  </si>
  <si>
    <r>
      <t>For New V19: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</si>
  <si>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19 = </t>
  </si>
  <si>
    <t xml:space="preserve">New A19 = </t>
  </si>
  <si>
    <t xml:space="preserve">New P19 = </t>
  </si>
  <si>
    <t xml:space="preserve">New R19 = </t>
  </si>
  <si>
    <t xml:space="preserve">New V20 = </t>
  </si>
  <si>
    <t xml:space="preserve">New Q19 = </t>
  </si>
  <si>
    <t xml:space="preserve">New V21 = </t>
  </si>
  <si>
    <r>
      <t>For New V21: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</si>
  <si>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21 = </t>
  </si>
  <si>
    <t xml:space="preserve">New A21 = </t>
  </si>
  <si>
    <t xml:space="preserve">New P21= </t>
  </si>
  <si>
    <t xml:space="preserve">New R21 = </t>
  </si>
  <si>
    <t xml:space="preserve">New V22 = </t>
  </si>
  <si>
    <t xml:space="preserve">New Q21= </t>
  </si>
  <si>
    <t xml:space="preserve">New V23 = </t>
  </si>
  <si>
    <r>
      <t>For New V23: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</si>
  <si>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23 = </t>
  </si>
  <si>
    <t xml:space="preserve">New A23 = </t>
  </si>
  <si>
    <t xml:space="preserve">New P23= </t>
  </si>
  <si>
    <t xml:space="preserve">New R23 = </t>
  </si>
  <si>
    <t xml:space="preserve">New V24 = </t>
  </si>
  <si>
    <t xml:space="preserve">New Q23= </t>
  </si>
  <si>
    <t xml:space="preserve">New V25 = </t>
  </si>
  <si>
    <r>
      <t>For New V25: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</si>
  <si>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25 = </t>
  </si>
  <si>
    <t xml:space="preserve">New A25 = </t>
  </si>
  <si>
    <t xml:space="preserve">New P25= </t>
  </si>
  <si>
    <t xml:space="preserve">New R25 = </t>
  </si>
  <si>
    <t xml:space="preserve">New V26 = </t>
  </si>
  <si>
    <t xml:space="preserve">New Q25= </t>
  </si>
  <si>
    <t xml:space="preserve">Velocity for Max Slope = </t>
  </si>
  <si>
    <t xml:space="preserve">Velocity for Min Slope = </t>
  </si>
  <si>
    <t xml:space="preserve">Approx. US WS Elev ( just DS of Inlet) = </t>
  </si>
  <si>
    <r>
      <rPr>
        <b/>
        <sz val="11"/>
        <color theme="1"/>
        <rFont val="Calibri"/>
        <family val="2"/>
        <scheme val="minor"/>
      </rPr>
      <t>CHECK</t>
    </r>
    <r>
      <rPr>
        <sz val="11"/>
        <color theme="1"/>
        <rFont val="Calibri"/>
        <family val="2"/>
        <scheme val="minor"/>
      </rPr>
      <t xml:space="preserve"> For </t>
    </r>
    <r>
      <rPr>
        <b/>
        <u/>
        <sz val="11"/>
        <color theme="1"/>
        <rFont val="Calibri"/>
        <family val="2"/>
        <scheme val="minor"/>
      </rPr>
      <t>Maximum Slope</t>
    </r>
    <r>
      <rPr>
        <sz val="11"/>
        <color theme="1"/>
        <rFont val="Calibri"/>
        <family val="2"/>
        <scheme val="minor"/>
      </rPr>
      <t>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</si>
  <si>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r>
      <t xml:space="preserve">CHECK For </t>
    </r>
    <r>
      <rPr>
        <b/>
        <u/>
        <sz val="11"/>
        <color theme="1"/>
        <rFont val="Calibri"/>
        <family val="2"/>
        <scheme val="minor"/>
      </rPr>
      <t>Minimum Slope</t>
    </r>
    <r>
      <rPr>
        <sz val="11"/>
        <color theme="1"/>
        <rFont val="Calibri"/>
        <family val="2"/>
        <scheme val="minor"/>
      </rPr>
      <t>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</si>
  <si>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Velocity for Ave Slope = </t>
  </si>
  <si>
    <t xml:space="preserve">New Ave Depth = </t>
  </si>
  <si>
    <t xml:space="preserve">New A = </t>
  </si>
  <si>
    <t xml:space="preserve">New P = </t>
  </si>
  <si>
    <t xml:space="preserve">New R = </t>
  </si>
  <si>
    <t xml:space="preserve">New Q= </t>
  </si>
  <si>
    <t xml:space="preserve">New Ave Depth  = </t>
  </si>
  <si>
    <t xml:space="preserve">New P= </t>
  </si>
  <si>
    <r>
      <t>For New V26: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</si>
  <si>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26 = </t>
  </si>
  <si>
    <t xml:space="preserve">New A26 = </t>
  </si>
  <si>
    <t xml:space="preserve">New P26= </t>
  </si>
  <si>
    <t xml:space="preserve">New R26 = </t>
  </si>
  <si>
    <t xml:space="preserve">New V27 = </t>
  </si>
  <si>
    <t xml:space="preserve">New Q26= </t>
  </si>
  <si>
    <t xml:space="preserve">New V28 = </t>
  </si>
  <si>
    <r>
      <t>For New V28: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</si>
  <si>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28 = </t>
  </si>
  <si>
    <t xml:space="preserve">New A28 = </t>
  </si>
  <si>
    <t xml:space="preserve">New P28= </t>
  </si>
  <si>
    <t xml:space="preserve">New R28 = </t>
  </si>
  <si>
    <t xml:space="preserve">New V29 = </t>
  </si>
  <si>
    <t xml:space="preserve">New Q28= </t>
  </si>
  <si>
    <t xml:space="preserve">New V30 = </t>
  </si>
  <si>
    <r>
      <t>For New V30: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</si>
  <si>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A30 = </t>
  </si>
  <si>
    <t xml:space="preserve">New P30= </t>
  </si>
  <si>
    <t xml:space="preserve">New R30 = </t>
  </si>
  <si>
    <t xml:space="preserve">New V31 = </t>
  </si>
  <si>
    <t xml:space="preserve">New Q30= </t>
  </si>
  <si>
    <t xml:space="preserve">New V32 = </t>
  </si>
  <si>
    <r>
      <t>For New V32: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</si>
  <si>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30 = </t>
  </si>
  <si>
    <t xml:space="preserve">New Ave Depth 32 = </t>
  </si>
  <si>
    <t xml:space="preserve">New A32 = </t>
  </si>
  <si>
    <t xml:space="preserve">New P32= </t>
  </si>
  <si>
    <t xml:space="preserve">New R32 = </t>
  </si>
  <si>
    <t xml:space="preserve">New V33 = </t>
  </si>
  <si>
    <t xml:space="preserve">New Q32= </t>
  </si>
  <si>
    <t xml:space="preserve">New V34 = </t>
  </si>
  <si>
    <r>
      <t>For New V34: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</si>
  <si>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34 = </t>
  </si>
  <si>
    <t xml:space="preserve">New A34 = </t>
  </si>
  <si>
    <t xml:space="preserve">New P34= </t>
  </si>
  <si>
    <t xml:space="preserve">New R34 = </t>
  </si>
  <si>
    <t xml:space="preserve">New V35 = </t>
  </si>
  <si>
    <t xml:space="preserve">New Q34= </t>
  </si>
  <si>
    <t xml:space="preserve">New V36 = </t>
  </si>
  <si>
    <r>
      <t>For New V36: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</si>
  <si>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36 = </t>
  </si>
  <si>
    <t xml:space="preserve">New A36 = </t>
  </si>
  <si>
    <t xml:space="preserve">New P36= </t>
  </si>
  <si>
    <t xml:space="preserve">New V37 = </t>
  </si>
  <si>
    <t xml:space="preserve">New Q36= </t>
  </si>
  <si>
    <t xml:space="preserve">New V38 = </t>
  </si>
  <si>
    <t xml:space="preserve">New R36 = </t>
  </si>
  <si>
    <t>Final Q:</t>
  </si>
  <si>
    <t>Error in HW Elev After Iterations:</t>
  </si>
  <si>
    <t>New TW Depth:</t>
  </si>
  <si>
    <t>TW Critical Depth2:</t>
  </si>
  <si>
    <t>New TW Depth2:</t>
  </si>
  <si>
    <t>TW Critical Depth3:</t>
  </si>
  <si>
    <t>New TW Depth3:</t>
  </si>
  <si>
    <t>TW Critical Depth5:</t>
  </si>
  <si>
    <t>New TW Depth5:</t>
  </si>
  <si>
    <t>TW Critical Depth7:</t>
  </si>
  <si>
    <t>New TW Depth7:</t>
  </si>
  <si>
    <t>TW Critical Depth9:</t>
  </si>
  <si>
    <t>New TW Depth9:</t>
  </si>
  <si>
    <t>TW Critical Depth11:</t>
  </si>
  <si>
    <t>New TW Depth11:</t>
  </si>
  <si>
    <t>TW Critical Depth13:</t>
  </si>
  <si>
    <t>New TW Depth13:</t>
  </si>
  <si>
    <t>TW Critical Depth15:</t>
  </si>
  <si>
    <t>New TW Depth15:</t>
  </si>
  <si>
    <t>TW Critical Depth17:</t>
  </si>
  <si>
    <t>New TW Depth17:</t>
  </si>
  <si>
    <t>TW Critical Depth19:</t>
  </si>
  <si>
    <t>New TW Depth19:</t>
  </si>
  <si>
    <t>TW Critical Depth21:</t>
  </si>
  <si>
    <t>New TW Depth21:</t>
  </si>
  <si>
    <t>TW Critical Depth23:</t>
  </si>
  <si>
    <t>New TW Depth23:</t>
  </si>
  <si>
    <t>TW Critical Depth25:</t>
  </si>
  <si>
    <t>New TW Depth25:</t>
  </si>
  <si>
    <t>TW Critical Depth26:</t>
  </si>
  <si>
    <t>New TW Depth26:</t>
  </si>
  <si>
    <t>TW Critical Depth28:</t>
  </si>
  <si>
    <t>New TW Depth28:</t>
  </si>
  <si>
    <t>TW Critical Depth30:</t>
  </si>
  <si>
    <t>New TW Depth30:</t>
  </si>
  <si>
    <t>TW Critical Depth32:</t>
  </si>
  <si>
    <t>New TW Depth32:</t>
  </si>
  <si>
    <t>TW Critical Depth34:</t>
  </si>
  <si>
    <t>New TW Depth34:</t>
  </si>
  <si>
    <t>TW Critical Depth36:</t>
  </si>
  <si>
    <t>New TW Depth36:</t>
  </si>
  <si>
    <t>Culvert Outlet Invert Elev MUST Be Less than or Equal to the Invert Elev</t>
  </si>
  <si>
    <t>Ave of Approx HW Elevations:</t>
  </si>
  <si>
    <t>ft       Ave US Depth =</t>
  </si>
  <si>
    <t>U/S Depth 1:</t>
  </si>
  <si>
    <t>Ave of Approx HW Elevs:</t>
  </si>
  <si>
    <r>
      <t>For New V38: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</si>
  <si>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38 = </t>
  </si>
  <si>
    <t xml:space="preserve">New A38 = </t>
  </si>
  <si>
    <t xml:space="preserve">New P38= </t>
  </si>
  <si>
    <t xml:space="preserve">New R38 = </t>
  </si>
  <si>
    <t xml:space="preserve">New V39 = </t>
  </si>
  <si>
    <t>TW Critical Depth38:</t>
  </si>
  <si>
    <t>New TW Depth38:</t>
  </si>
  <si>
    <t xml:space="preserve">New V40= </t>
  </si>
  <si>
    <r>
      <t>For New V40: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</si>
  <si>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40 = </t>
  </si>
  <si>
    <t xml:space="preserve">New A40 = </t>
  </si>
  <si>
    <t xml:space="preserve">New P40= </t>
  </si>
  <si>
    <t xml:space="preserve">New R40 = </t>
  </si>
  <si>
    <t xml:space="preserve">New V41 = </t>
  </si>
  <si>
    <t xml:space="preserve">New Q40= </t>
  </si>
  <si>
    <t>TW Critical Depth40:</t>
  </si>
  <si>
    <t>New TW Depth40:</t>
  </si>
  <si>
    <t xml:space="preserve">New Q38= </t>
  </si>
  <si>
    <t xml:space="preserve">New V42 = </t>
  </si>
  <si>
    <r>
      <t>For New V42: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</si>
  <si>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42 = </t>
  </si>
  <si>
    <t xml:space="preserve">New A42 = </t>
  </si>
  <si>
    <t xml:space="preserve">New P42= </t>
  </si>
  <si>
    <t xml:space="preserve">New R42 = </t>
  </si>
  <si>
    <t xml:space="preserve">New V43 = </t>
  </si>
  <si>
    <t xml:space="preserve">New Q42= </t>
  </si>
  <si>
    <t>TW Critical Depth42:</t>
  </si>
  <si>
    <t>New TW Depth42:</t>
  </si>
  <si>
    <t xml:space="preserve">New V44 = </t>
  </si>
  <si>
    <r>
      <t>For New V43: 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/2g = </t>
    </r>
  </si>
  <si>
    <t xml:space="preserve">New Ave Depth 43 = </t>
  </si>
  <si>
    <t xml:space="preserve">New A43 = </t>
  </si>
  <si>
    <t xml:space="preserve">New P43= </t>
  </si>
  <si>
    <t xml:space="preserve">New R43 = </t>
  </si>
  <si>
    <t xml:space="preserve">New Q43= </t>
  </si>
  <si>
    <t>TW Critical Depth43:</t>
  </si>
  <si>
    <t>New TW Depth43:</t>
  </si>
  <si>
    <t xml:space="preserve">New V45 = </t>
  </si>
  <si>
    <t>Average of Last Two HW Elevs:</t>
  </si>
  <si>
    <t>Error:</t>
  </si>
  <si>
    <t>Elevation with Minimum Error:</t>
  </si>
  <si>
    <t>0.99 * Diameter =</t>
  </si>
  <si>
    <t>0.1 * Diameter =</t>
  </si>
  <si>
    <r>
      <rPr>
        <b/>
        <u/>
        <sz val="16"/>
        <color theme="1"/>
        <rFont val="Calibri"/>
        <family val="2"/>
        <scheme val="minor"/>
      </rPr>
      <t>NOTE for Excel 2010:</t>
    </r>
    <r>
      <rPr>
        <sz val="16"/>
        <color theme="1"/>
        <rFont val="Calibri"/>
        <family val="2"/>
        <scheme val="minor"/>
      </rPr>
      <t xml:space="preserve">  Be sure that the calculations are </t>
    </r>
    <r>
      <rPr>
        <b/>
        <sz val="16"/>
        <color theme="1"/>
        <rFont val="Calibri"/>
        <family val="2"/>
        <scheme val="minor"/>
      </rPr>
      <t>set to automatic</t>
    </r>
    <r>
      <rPr>
        <sz val="16"/>
        <color theme="1"/>
        <rFont val="Calibri"/>
        <family val="2"/>
        <scheme val="minor"/>
      </rPr>
      <t>.  Check this by selecting the following:</t>
    </r>
  </si>
  <si>
    <t xml:space="preserve">     File, Options, Formulas, Calculation options, and then under "Workbook Calculation" be sure that "automatic" is selected.</t>
  </si>
  <si>
    <t>NEW User Instructions:  for Excel 2010</t>
  </si>
  <si>
    <r>
      <t>Note that you do not need "Administrative Privileges" to install these options, just follow these instructions</t>
    </r>
    <r>
      <rPr>
        <sz val="12"/>
        <color theme="1"/>
        <rFont val="Calibri"/>
        <family val="2"/>
        <scheme val="minor"/>
      </rPr>
      <t>:</t>
    </r>
  </si>
  <si>
    <t>When the new window opens, select the “Options” at the lower left of the window</t>
  </si>
  <si>
    <t>NEW User Instructions:  for Excel 2007.  If using Excel 2010 see next Tab (Help for Macros Excel 2010)!</t>
  </si>
  <si>
    <t>Then, select “Add‐Ins” on the left side of the Excel Options window.  Near the bottom of the Add-Ins window, next to the "Excel Add-ins"</t>
  </si>
  <si>
    <t>dropdown, select the "Go…" button.</t>
  </si>
  <si>
    <t>Be sure that there are checks next to "Analysis ToolPak",</t>
  </si>
  <si>
    <t>and “Solver Add‐in” and then select OK.</t>
  </si>
  <si>
    <t>these Excel Add‐ins; however, it may take a minute or</t>
  </si>
  <si>
    <t>Select the File Tab Above (on Upper Left) of Excel Screen</t>
  </si>
  <si>
    <t>Select “Customize Ribbon” on the left side of the Excel Options window.  When the new window opens,</t>
  </si>
  <si>
    <t>Look under "Main Tabs" on the Right side of the window, and be sure that the box next to "Developer" is checked.</t>
  </si>
  <si>
    <r>
      <t xml:space="preserve">these Excel Add‐ins; however, it </t>
    </r>
    <r>
      <rPr>
        <u/>
        <sz val="11"/>
        <color theme="1"/>
        <rFont val="Calibri"/>
        <family val="2"/>
        <scheme val="minor"/>
      </rPr>
      <t>may</t>
    </r>
    <r>
      <rPr>
        <sz val="11"/>
        <color theme="1"/>
        <rFont val="Calibri"/>
        <family val="2"/>
        <scheme val="minor"/>
      </rPr>
      <t xml:space="preserve"> take a minute or</t>
    </r>
  </si>
  <si>
    <t>IaCulvertDesign.xlsm V1.0</t>
  </si>
  <si>
    <t>EFH 6 IA-46(2)</t>
  </si>
  <si>
    <t>CMP_3x1</t>
  </si>
  <si>
    <t>CMP_2.67x0.5</t>
  </si>
  <si>
    <t>Welded_Steel</t>
  </si>
  <si>
    <t xml:space="preserve">This is the Wisconsin CulvertDesign_1_20_2015.xlsm spreadsheet. </t>
  </si>
  <si>
    <t>CMP with 3x1 corrugations and Welded Steel Pipe have been added to the list of 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</si>
</sst>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"/>
    <numFmt numFmtId="165" formatCode="0.0"/>
    <numFmt numFmtId="166" formatCode="0.000"/>
    <numFmt numFmtId="167" formatCode="0.000000"/>
    <numFmt numFmtId="168" formatCode="0.0000"/>
    <numFmt numFmtId="169" formatCode="[$-409]mmmm\ d\,\ yyyy;@"/>
  </numFmts>
  <fonts count="4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i/>
      <sz val="20"/>
      <color rgb="FF3333CC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9"/>
      <color indexed="81"/>
      <name val="Tahoma"/>
      <family val="2"/>
    </font>
    <font>
      <b/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1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8" fillId="0" borderId="0"/>
  </cellStyleXfs>
  <cellXfs count="1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9" fillId="0" borderId="0" xfId="0" applyFont="1" applyAlignment="1" applyProtection="1">
      <alignment horizontal="right"/>
    </xf>
    <xf numFmtId="165" fontId="9" fillId="0" borderId="0" xfId="0" applyNumberFormat="1" applyFont="1" applyProtection="1"/>
    <xf numFmtId="0" fontId="9" fillId="0" borderId="0" xfId="0" applyFont="1" applyProtection="1"/>
    <xf numFmtId="0" fontId="11" fillId="0" borderId="0" xfId="0" applyFont="1" applyProtection="1"/>
    <xf numFmtId="0" fontId="12" fillId="3" borderId="0" xfId="0" applyFont="1" applyFill="1" applyProtection="1"/>
    <xf numFmtId="0" fontId="0" fillId="3" borderId="0" xfId="0" applyFill="1" applyProtection="1"/>
    <xf numFmtId="0" fontId="0" fillId="3" borderId="0" xfId="0" applyFill="1" applyAlignment="1" applyProtection="1">
      <alignment horizontal="right"/>
    </xf>
    <xf numFmtId="0" fontId="0" fillId="3" borderId="0" xfId="0" applyFill="1" applyAlignment="1" applyProtection="1">
      <alignment horizontal="left"/>
    </xf>
    <xf numFmtId="2" fontId="0" fillId="3" borderId="0" xfId="0" applyNumberFormat="1" applyFill="1" applyProtection="1"/>
    <xf numFmtId="0" fontId="0" fillId="3" borderId="0" xfId="0" applyFill="1" applyAlignment="1" applyProtection="1">
      <alignment horizontal="center"/>
    </xf>
    <xf numFmtId="0" fontId="0" fillId="3" borderId="0" xfId="0" quotePrefix="1" applyFill="1" applyProtection="1"/>
    <xf numFmtId="0" fontId="0" fillId="4" borderId="0" xfId="0" applyFill="1" applyProtection="1"/>
    <xf numFmtId="0" fontId="2" fillId="4" borderId="0" xfId="0" applyFont="1" applyFill="1" applyProtection="1"/>
    <xf numFmtId="0" fontId="7" fillId="4" borderId="0" xfId="0" applyFont="1" applyFill="1" applyProtection="1"/>
    <xf numFmtId="0" fontId="0" fillId="4" borderId="0" xfId="0" applyFill="1" applyAlignment="1" applyProtection="1">
      <alignment horizontal="right"/>
    </xf>
    <xf numFmtId="0" fontId="5" fillId="4" borderId="0" xfId="0" applyFont="1" applyFill="1" applyBorder="1" applyAlignment="1" applyProtection="1">
      <alignment horizontal="right"/>
    </xf>
    <xf numFmtId="0" fontId="13" fillId="4" borderId="0" xfId="0" applyFont="1" applyFill="1" applyProtection="1"/>
    <xf numFmtId="0" fontId="1" fillId="5" borderId="0" xfId="0" applyFont="1" applyFill="1" applyProtection="1"/>
    <xf numFmtId="0" fontId="0" fillId="5" borderId="0" xfId="0" applyFill="1" applyProtection="1"/>
    <xf numFmtId="0" fontId="2" fillId="5" borderId="0" xfId="0" applyFont="1" applyFill="1" applyProtection="1"/>
    <xf numFmtId="0" fontId="0" fillId="5" borderId="0" xfId="0" quotePrefix="1" applyFill="1" applyProtection="1"/>
    <xf numFmtId="0" fontId="0" fillId="6" borderId="0" xfId="0" applyFill="1" applyProtection="1"/>
    <xf numFmtId="2" fontId="0" fillId="6" borderId="0" xfId="0" applyNumberFormat="1" applyFill="1" applyProtection="1"/>
    <xf numFmtId="0" fontId="0" fillId="7" borderId="0" xfId="0" applyFill="1" applyProtection="1"/>
    <xf numFmtId="0" fontId="0" fillId="8" borderId="0" xfId="0" applyFill="1" applyProtection="1"/>
    <xf numFmtId="0" fontId="1" fillId="5" borderId="0" xfId="0" applyFont="1" applyFill="1"/>
    <xf numFmtId="0" fontId="0" fillId="5" borderId="0" xfId="0" applyFill="1"/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1" fillId="2" borderId="0" xfId="0" applyFont="1" applyFill="1" applyAlignment="1">
      <alignment horizontal="left"/>
    </xf>
    <xf numFmtId="0" fontId="0" fillId="2" borderId="0" xfId="0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" fillId="9" borderId="0" xfId="0" applyFont="1" applyFill="1"/>
    <xf numFmtId="0" fontId="0" fillId="9" borderId="0" xfId="0" applyFill="1"/>
    <xf numFmtId="0" fontId="2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4" fillId="9" borderId="0" xfId="0" applyFont="1" applyFill="1"/>
    <xf numFmtId="0" fontId="2" fillId="6" borderId="0" xfId="0" applyFont="1" applyFill="1" applyProtection="1"/>
    <xf numFmtId="0" fontId="7" fillId="5" borderId="0" xfId="0" applyFont="1" applyFill="1" applyProtection="1"/>
    <xf numFmtId="0" fontId="0" fillId="6" borderId="0" xfId="0" applyFill="1" applyAlignment="1" applyProtection="1">
      <alignment horizontal="right"/>
    </xf>
    <xf numFmtId="167" fontId="0" fillId="6" borderId="0" xfId="0" applyNumberFormat="1" applyFill="1" applyProtection="1"/>
    <xf numFmtId="0" fontId="15" fillId="0" borderId="0" xfId="0" applyFont="1"/>
    <xf numFmtId="0" fontId="17" fillId="0" borderId="0" xfId="0" applyFont="1"/>
    <xf numFmtId="0" fontId="10" fillId="0" borderId="0" xfId="0" applyFont="1"/>
    <xf numFmtId="0" fontId="19" fillId="0" borderId="0" xfId="0" applyFont="1"/>
    <xf numFmtId="0" fontId="13" fillId="4" borderId="0" xfId="0" applyFont="1" applyFill="1" applyAlignment="1" applyProtection="1">
      <alignment horizontal="right"/>
    </xf>
    <xf numFmtId="167" fontId="0" fillId="4" borderId="0" xfId="0" applyNumberFormat="1" applyFill="1" applyProtection="1"/>
    <xf numFmtId="166" fontId="0" fillId="4" borderId="0" xfId="0" applyNumberFormat="1" applyFill="1" applyProtection="1"/>
    <xf numFmtId="166" fontId="0" fillId="3" borderId="0" xfId="0" applyNumberFormat="1" applyFill="1" applyProtection="1"/>
    <xf numFmtId="2" fontId="0" fillId="4" borderId="0" xfId="0" applyNumberFormat="1" applyFill="1" applyProtection="1"/>
    <xf numFmtId="0" fontId="0" fillId="4" borderId="0" xfId="0" quotePrefix="1" applyFill="1" applyProtection="1"/>
    <xf numFmtId="165" fontId="0" fillId="4" borderId="0" xfId="0" applyNumberFormat="1" applyFill="1" applyProtection="1"/>
    <xf numFmtId="166" fontId="25" fillId="4" borderId="0" xfId="0" applyNumberFormat="1" applyFont="1" applyFill="1" applyProtection="1"/>
    <xf numFmtId="0" fontId="2" fillId="4" borderId="0" xfId="0" applyFont="1" applyFill="1" applyAlignment="1" applyProtection="1">
      <alignment horizontal="right"/>
    </xf>
    <xf numFmtId="0" fontId="0" fillId="0" borderId="0" xfId="0" applyFill="1" applyProtection="1"/>
    <xf numFmtId="0" fontId="7" fillId="0" borderId="0" xfId="0" applyFont="1" applyFill="1" applyProtection="1"/>
    <xf numFmtId="164" fontId="0" fillId="6" borderId="0" xfId="0" applyNumberFormat="1" applyFill="1" applyProtection="1"/>
    <xf numFmtId="168" fontId="25" fillId="4" borderId="0" xfId="0" applyNumberFormat="1" applyFont="1" applyFill="1" applyProtection="1"/>
    <xf numFmtId="167" fontId="24" fillId="4" borderId="0" xfId="0" applyNumberFormat="1" applyFont="1" applyFill="1" applyProtection="1"/>
    <xf numFmtId="0" fontId="10" fillId="0" borderId="0" xfId="0" applyFont="1" applyProtection="1"/>
    <xf numFmtId="0" fontId="27" fillId="0" borderId="0" xfId="0" applyFont="1" applyProtection="1"/>
    <xf numFmtId="0" fontId="17" fillId="0" borderId="0" xfId="0" applyFont="1" applyProtection="1"/>
    <xf numFmtId="0" fontId="10" fillId="0" borderId="0" xfId="0" applyFont="1" applyAlignment="1" applyProtection="1">
      <alignment horizontal="right"/>
    </xf>
    <xf numFmtId="0" fontId="28" fillId="0" borderId="0" xfId="0" applyFont="1" applyProtection="1"/>
    <xf numFmtId="0" fontId="28" fillId="2" borderId="0" xfId="0" applyFont="1" applyFill="1" applyProtection="1">
      <protection locked="0"/>
    </xf>
    <xf numFmtId="2" fontId="28" fillId="2" borderId="1" xfId="0" applyNumberFormat="1" applyFont="1" applyFill="1" applyBorder="1" applyAlignment="1" applyProtection="1">
      <alignment horizontal="center"/>
      <protection locked="0"/>
    </xf>
    <xf numFmtId="0" fontId="28" fillId="0" borderId="0" xfId="0" applyFont="1" applyAlignment="1" applyProtection="1">
      <alignment horizontal="right"/>
    </xf>
    <xf numFmtId="0" fontId="28" fillId="2" borderId="1" xfId="0" applyFont="1" applyFill="1" applyBorder="1" applyProtection="1">
      <protection locked="0"/>
    </xf>
    <xf numFmtId="0" fontId="28" fillId="0" borderId="0" xfId="0" applyFont="1" applyAlignment="1" applyProtection="1">
      <alignment horizontal="left"/>
    </xf>
    <xf numFmtId="0" fontId="30" fillId="0" borderId="0" xfId="0" applyFont="1" applyProtection="1"/>
    <xf numFmtId="164" fontId="0" fillId="3" borderId="0" xfId="0" applyNumberFormat="1" applyFill="1" applyProtection="1"/>
    <xf numFmtId="165" fontId="10" fillId="0" borderId="0" xfId="0" applyNumberFormat="1" applyFont="1" applyProtection="1"/>
    <xf numFmtId="0" fontId="1" fillId="6" borderId="0" xfId="0" applyFont="1" applyFill="1" applyProtection="1"/>
    <xf numFmtId="0" fontId="0" fillId="4" borderId="0" xfId="0" applyFill="1" applyAlignment="1" applyProtection="1">
      <alignment horizontal="center"/>
    </xf>
    <xf numFmtId="164" fontId="0" fillId="4" borderId="0" xfId="0" applyNumberFormat="1" applyFill="1" applyProtection="1"/>
    <xf numFmtId="0" fontId="0" fillId="7" borderId="0" xfId="0" applyFill="1" applyAlignment="1" applyProtection="1">
      <alignment horizontal="right"/>
    </xf>
    <xf numFmtId="0" fontId="25" fillId="7" borderId="0" xfId="0" applyFont="1" applyFill="1" applyBorder="1" applyAlignment="1" applyProtection="1">
      <alignment horizontal="left"/>
    </xf>
    <xf numFmtId="0" fontId="0" fillId="7" borderId="0" xfId="0" applyFill="1" applyAlignment="1" applyProtection="1">
      <alignment horizontal="left"/>
    </xf>
    <xf numFmtId="166" fontId="0" fillId="7" borderId="0" xfId="0" applyNumberFormat="1" applyFill="1" applyAlignment="1" applyProtection="1">
      <alignment horizontal="right"/>
    </xf>
    <xf numFmtId="2" fontId="0" fillId="7" borderId="0" xfId="0" applyNumberFormat="1" applyFill="1" applyAlignment="1" applyProtection="1">
      <alignment horizontal="left"/>
    </xf>
    <xf numFmtId="168" fontId="0" fillId="7" borderId="0" xfId="0" applyNumberFormat="1" applyFill="1" applyProtection="1"/>
    <xf numFmtId="0" fontId="2" fillId="7" borderId="0" xfId="0" applyFont="1" applyFill="1" applyProtection="1"/>
    <xf numFmtId="0" fontId="32" fillId="0" borderId="0" xfId="0" applyFont="1" applyAlignment="1">
      <alignment horizontal="center"/>
    </xf>
    <xf numFmtId="0" fontId="1" fillId="0" borderId="0" xfId="0" applyFont="1"/>
    <xf numFmtId="0" fontId="9" fillId="0" borderId="0" xfId="0" applyFont="1"/>
    <xf numFmtId="0" fontId="34" fillId="0" borderId="0" xfId="0" applyFont="1" applyAlignment="1" applyProtection="1">
      <alignment horizontal="right"/>
    </xf>
    <xf numFmtId="169" fontId="28" fillId="0" borderId="0" xfId="0" applyNumberFormat="1" applyFont="1" applyAlignment="1" applyProtection="1">
      <alignment horizontal="left"/>
    </xf>
    <xf numFmtId="0" fontId="34" fillId="0" borderId="0" xfId="0" applyFont="1"/>
    <xf numFmtId="0" fontId="12" fillId="0" borderId="0" xfId="0" applyFont="1" applyProtection="1"/>
    <xf numFmtId="0" fontId="20" fillId="0" borderId="0" xfId="0" applyFont="1" applyProtection="1"/>
    <xf numFmtId="0" fontId="7" fillId="7" borderId="0" xfId="0" applyFont="1" applyFill="1" applyProtection="1"/>
    <xf numFmtId="2" fontId="28" fillId="2" borderId="1" xfId="0" applyNumberFormat="1" applyFont="1" applyFill="1" applyBorder="1" applyAlignment="1" applyProtection="1">
      <alignment horizontal="center"/>
    </xf>
    <xf numFmtId="2" fontId="28" fillId="2" borderId="2" xfId="0" applyNumberFormat="1" applyFont="1" applyFill="1" applyBorder="1" applyAlignment="1" applyProtection="1">
      <alignment horizontal="center"/>
    </xf>
    <xf numFmtId="0" fontId="28" fillId="2" borderId="1" xfId="0" applyFont="1" applyFill="1" applyBorder="1" applyProtection="1"/>
    <xf numFmtId="2" fontId="0" fillId="7" borderId="0" xfId="0" applyNumberFormat="1" applyFill="1" applyProtection="1"/>
    <xf numFmtId="164" fontId="0" fillId="7" borderId="0" xfId="0" applyNumberFormat="1" applyFill="1" applyProtection="1"/>
    <xf numFmtId="0" fontId="35" fillId="7" borderId="0" xfId="0" applyFont="1" applyFill="1" applyProtection="1"/>
    <xf numFmtId="0" fontId="13" fillId="0" borderId="0" xfId="0" applyFont="1" applyProtection="1"/>
    <xf numFmtId="14" fontId="0" fillId="0" borderId="0" xfId="0" applyNumberFormat="1" applyProtection="1"/>
    <xf numFmtId="0" fontId="29" fillId="0" borderId="0" xfId="0" applyFont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0" fontId="39" fillId="0" borderId="0" xfId="0" applyFont="1" applyProtection="1"/>
    <xf numFmtId="0" fontId="40" fillId="0" borderId="0" xfId="0" applyFont="1" applyProtection="1"/>
    <xf numFmtId="0" fontId="28" fillId="2" borderId="0" xfId="0" applyFont="1" applyFill="1" applyAlignment="1" applyProtection="1">
      <protection locked="0"/>
    </xf>
  </cellXfs>
  <cellStyles count="2">
    <cellStyle name="Normal" xfId="0" builtinId="0"/>
    <cellStyle name="Normal 2" xfId="1"/>
  </cellStyles>
  <dxfs count="1">
    <dxf>
      <font>
        <color theme="1"/>
      </font>
    </dxf>
  </dxfs>
  <tableStyles count="0" defaultTableStyle="TableStyleMedium9" defaultPivotStyle="PivotStyleLight16"/>
  <colors>
    <mruColors>
      <color rgb="FFFFFFCC"/>
      <color rgb="FF99CCFF"/>
      <color rgb="FF3333CC"/>
      <color rgb="FF66FFFF"/>
      <color rgb="FFFFCCCC"/>
      <color rgb="FFD48886"/>
      <color rgb="FF0099FF"/>
      <color rgb="FF9999FF"/>
      <color rgb="FFB4B0E8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help for macros'!A1"/><Relationship Id="rId2" Type="http://schemas.openxmlformats.org/officeDocument/2006/relationships/hyperlink" Target="#'Help Information'!A1"/><Relationship Id="rId1" Type="http://schemas.openxmlformats.org/officeDocument/2006/relationships/hyperlink" Target="#'Culvert Entrance Condition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ulvert Analys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Culvert Analysis'!A1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help for macros'!A1"/><Relationship Id="rId1" Type="http://schemas.openxmlformats.org/officeDocument/2006/relationships/hyperlink" Target="#'Culvert Analysi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2.jpeg"/><Relationship Id="rId5" Type="http://schemas.openxmlformats.org/officeDocument/2006/relationships/hyperlink" Target="#'Culvert Analysis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hyperlink" Target="#'Culvert Analysis'!A1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6</xdr:row>
      <xdr:rowOff>123826</xdr:rowOff>
    </xdr:from>
    <xdr:to>
      <xdr:col>5</xdr:col>
      <xdr:colOff>1257300</xdr:colOff>
      <xdr:row>13</xdr:row>
      <xdr:rowOff>95250</xdr:rowOff>
    </xdr:to>
    <xdr:grpSp>
      <xdr:nvGrpSpPr>
        <xdr:cNvPr id="29" name="Group 28"/>
        <xdr:cNvGrpSpPr/>
      </xdr:nvGrpSpPr>
      <xdr:grpSpPr>
        <a:xfrm>
          <a:off x="838200" y="1647826"/>
          <a:ext cx="8210550" cy="1695449"/>
          <a:chOff x="838200" y="1276351"/>
          <a:chExt cx="6515100" cy="1314449"/>
        </a:xfrm>
      </xdr:grpSpPr>
      <xdr:sp macro="" textlink="">
        <xdr:nvSpPr>
          <xdr:cNvPr id="5" name="Freeform 4"/>
          <xdr:cNvSpPr/>
        </xdr:nvSpPr>
        <xdr:spPr>
          <a:xfrm>
            <a:off x="2107505" y="1276351"/>
            <a:ext cx="3530251" cy="1314449"/>
          </a:xfrm>
          <a:custGeom>
            <a:avLst/>
            <a:gdLst>
              <a:gd name="connsiteX0" fmla="*/ 60439 w 3279889"/>
              <a:gd name="connsiteY0" fmla="*/ 1164731 h 1355231"/>
              <a:gd name="connsiteX1" fmla="*/ 327139 w 3279889"/>
              <a:gd name="connsiteY1" fmla="*/ 869456 h 1355231"/>
              <a:gd name="connsiteX2" fmla="*/ 603364 w 3279889"/>
              <a:gd name="connsiteY2" fmla="*/ 612281 h 1355231"/>
              <a:gd name="connsiteX3" fmla="*/ 727189 w 3279889"/>
              <a:gd name="connsiteY3" fmla="*/ 497981 h 1355231"/>
              <a:gd name="connsiteX4" fmla="*/ 993889 w 3279889"/>
              <a:gd name="connsiteY4" fmla="*/ 278906 h 1355231"/>
              <a:gd name="connsiteX5" fmla="*/ 1146289 w 3279889"/>
              <a:gd name="connsiteY5" fmla="*/ 183656 h 1355231"/>
              <a:gd name="connsiteX6" fmla="*/ 1727314 w 3279889"/>
              <a:gd name="connsiteY6" fmla="*/ 164606 h 1355231"/>
              <a:gd name="connsiteX7" fmla="*/ 1870189 w 3279889"/>
              <a:gd name="connsiteY7" fmla="*/ 183656 h 1355231"/>
              <a:gd name="connsiteX8" fmla="*/ 2079739 w 3279889"/>
              <a:gd name="connsiteY8" fmla="*/ 345581 h 1355231"/>
              <a:gd name="connsiteX9" fmla="*/ 2632189 w 3279889"/>
              <a:gd name="connsiteY9" fmla="*/ 869456 h 1355231"/>
              <a:gd name="connsiteX10" fmla="*/ 2994139 w 3279889"/>
              <a:gd name="connsiteY10" fmla="*/ 1174256 h 1355231"/>
              <a:gd name="connsiteX11" fmla="*/ 3213214 w 3279889"/>
              <a:gd name="connsiteY11" fmla="*/ 1307606 h 1355231"/>
              <a:gd name="connsiteX12" fmla="*/ 3251314 w 3279889"/>
              <a:gd name="connsiteY12" fmla="*/ 1345706 h 1355231"/>
              <a:gd name="connsiteX13" fmla="*/ 3279889 w 3279889"/>
              <a:gd name="connsiteY13" fmla="*/ 1355231 h 1355231"/>
              <a:gd name="connsiteX0" fmla="*/ 0 w 3219450"/>
              <a:gd name="connsiteY0" fmla="*/ 1164731 h 1355231"/>
              <a:gd name="connsiteX1" fmla="*/ 542925 w 3219450"/>
              <a:gd name="connsiteY1" fmla="*/ 612281 h 1355231"/>
              <a:gd name="connsiteX2" fmla="*/ 666750 w 3219450"/>
              <a:gd name="connsiteY2" fmla="*/ 497981 h 1355231"/>
              <a:gd name="connsiteX3" fmla="*/ 933450 w 3219450"/>
              <a:gd name="connsiteY3" fmla="*/ 278906 h 1355231"/>
              <a:gd name="connsiteX4" fmla="*/ 1085850 w 3219450"/>
              <a:gd name="connsiteY4" fmla="*/ 183656 h 1355231"/>
              <a:gd name="connsiteX5" fmla="*/ 1666875 w 3219450"/>
              <a:gd name="connsiteY5" fmla="*/ 164606 h 1355231"/>
              <a:gd name="connsiteX6" fmla="*/ 1809750 w 3219450"/>
              <a:gd name="connsiteY6" fmla="*/ 183656 h 1355231"/>
              <a:gd name="connsiteX7" fmla="*/ 2019300 w 3219450"/>
              <a:gd name="connsiteY7" fmla="*/ 345581 h 1355231"/>
              <a:gd name="connsiteX8" fmla="*/ 2571750 w 3219450"/>
              <a:gd name="connsiteY8" fmla="*/ 869456 h 1355231"/>
              <a:gd name="connsiteX9" fmla="*/ 2933700 w 3219450"/>
              <a:gd name="connsiteY9" fmla="*/ 1174256 h 1355231"/>
              <a:gd name="connsiteX10" fmla="*/ 3152775 w 3219450"/>
              <a:gd name="connsiteY10" fmla="*/ 1307606 h 1355231"/>
              <a:gd name="connsiteX11" fmla="*/ 3190875 w 3219450"/>
              <a:gd name="connsiteY11" fmla="*/ 1345706 h 1355231"/>
              <a:gd name="connsiteX12" fmla="*/ 3219450 w 3219450"/>
              <a:gd name="connsiteY12" fmla="*/ 1355231 h 1355231"/>
              <a:gd name="connsiteX0" fmla="*/ 0 w 3219450"/>
              <a:gd name="connsiteY0" fmla="*/ 1164731 h 1355231"/>
              <a:gd name="connsiteX1" fmla="*/ 666750 w 3219450"/>
              <a:gd name="connsiteY1" fmla="*/ 497981 h 1355231"/>
              <a:gd name="connsiteX2" fmla="*/ 933450 w 3219450"/>
              <a:gd name="connsiteY2" fmla="*/ 278906 h 1355231"/>
              <a:gd name="connsiteX3" fmla="*/ 1085850 w 3219450"/>
              <a:gd name="connsiteY3" fmla="*/ 183656 h 1355231"/>
              <a:gd name="connsiteX4" fmla="*/ 1666875 w 3219450"/>
              <a:gd name="connsiteY4" fmla="*/ 164606 h 1355231"/>
              <a:gd name="connsiteX5" fmla="*/ 1809750 w 3219450"/>
              <a:gd name="connsiteY5" fmla="*/ 183656 h 1355231"/>
              <a:gd name="connsiteX6" fmla="*/ 2019300 w 3219450"/>
              <a:gd name="connsiteY6" fmla="*/ 345581 h 1355231"/>
              <a:gd name="connsiteX7" fmla="*/ 2571750 w 3219450"/>
              <a:gd name="connsiteY7" fmla="*/ 869456 h 1355231"/>
              <a:gd name="connsiteX8" fmla="*/ 2933700 w 3219450"/>
              <a:gd name="connsiteY8" fmla="*/ 1174256 h 1355231"/>
              <a:gd name="connsiteX9" fmla="*/ 3152775 w 3219450"/>
              <a:gd name="connsiteY9" fmla="*/ 1307606 h 1355231"/>
              <a:gd name="connsiteX10" fmla="*/ 3190875 w 3219450"/>
              <a:gd name="connsiteY10" fmla="*/ 1345706 h 1355231"/>
              <a:gd name="connsiteX11" fmla="*/ 3219450 w 3219450"/>
              <a:gd name="connsiteY11" fmla="*/ 1355231 h 1355231"/>
              <a:gd name="connsiteX0" fmla="*/ 0 w 3219450"/>
              <a:gd name="connsiteY0" fmla="*/ 1164731 h 1355231"/>
              <a:gd name="connsiteX1" fmla="*/ 933450 w 3219450"/>
              <a:gd name="connsiteY1" fmla="*/ 278906 h 1355231"/>
              <a:gd name="connsiteX2" fmla="*/ 1085850 w 3219450"/>
              <a:gd name="connsiteY2" fmla="*/ 183656 h 1355231"/>
              <a:gd name="connsiteX3" fmla="*/ 1666875 w 3219450"/>
              <a:gd name="connsiteY3" fmla="*/ 164606 h 1355231"/>
              <a:gd name="connsiteX4" fmla="*/ 1809750 w 3219450"/>
              <a:gd name="connsiteY4" fmla="*/ 183656 h 1355231"/>
              <a:gd name="connsiteX5" fmla="*/ 2019300 w 3219450"/>
              <a:gd name="connsiteY5" fmla="*/ 345581 h 1355231"/>
              <a:gd name="connsiteX6" fmla="*/ 2571750 w 3219450"/>
              <a:gd name="connsiteY6" fmla="*/ 869456 h 1355231"/>
              <a:gd name="connsiteX7" fmla="*/ 2933700 w 3219450"/>
              <a:gd name="connsiteY7" fmla="*/ 1174256 h 1355231"/>
              <a:gd name="connsiteX8" fmla="*/ 3152775 w 3219450"/>
              <a:gd name="connsiteY8" fmla="*/ 1307606 h 1355231"/>
              <a:gd name="connsiteX9" fmla="*/ 3190875 w 3219450"/>
              <a:gd name="connsiteY9" fmla="*/ 1345706 h 1355231"/>
              <a:gd name="connsiteX10" fmla="*/ 3219450 w 3219450"/>
              <a:gd name="connsiteY10" fmla="*/ 1355231 h 1355231"/>
              <a:gd name="connsiteX0" fmla="*/ 0 w 3219450"/>
              <a:gd name="connsiteY0" fmla="*/ 1164731 h 1355231"/>
              <a:gd name="connsiteX1" fmla="*/ 1085850 w 3219450"/>
              <a:gd name="connsiteY1" fmla="*/ 183656 h 1355231"/>
              <a:gd name="connsiteX2" fmla="*/ 1666875 w 3219450"/>
              <a:gd name="connsiteY2" fmla="*/ 164606 h 1355231"/>
              <a:gd name="connsiteX3" fmla="*/ 1809750 w 3219450"/>
              <a:gd name="connsiteY3" fmla="*/ 183656 h 1355231"/>
              <a:gd name="connsiteX4" fmla="*/ 2019300 w 3219450"/>
              <a:gd name="connsiteY4" fmla="*/ 345581 h 1355231"/>
              <a:gd name="connsiteX5" fmla="*/ 2571750 w 3219450"/>
              <a:gd name="connsiteY5" fmla="*/ 869456 h 1355231"/>
              <a:gd name="connsiteX6" fmla="*/ 2933700 w 3219450"/>
              <a:gd name="connsiteY6" fmla="*/ 1174256 h 1355231"/>
              <a:gd name="connsiteX7" fmla="*/ 3152775 w 3219450"/>
              <a:gd name="connsiteY7" fmla="*/ 1307606 h 1355231"/>
              <a:gd name="connsiteX8" fmla="*/ 3190875 w 3219450"/>
              <a:gd name="connsiteY8" fmla="*/ 1345706 h 1355231"/>
              <a:gd name="connsiteX9" fmla="*/ 3219450 w 3219450"/>
              <a:gd name="connsiteY9" fmla="*/ 1355231 h 1355231"/>
              <a:gd name="connsiteX0" fmla="*/ 0 w 3219450"/>
              <a:gd name="connsiteY0" fmla="*/ 1144587 h 1335087"/>
              <a:gd name="connsiteX1" fmla="*/ 1085850 w 3219450"/>
              <a:gd name="connsiteY1" fmla="*/ 163512 h 1335087"/>
              <a:gd name="connsiteX2" fmla="*/ 1809750 w 3219450"/>
              <a:gd name="connsiteY2" fmla="*/ 163512 h 1335087"/>
              <a:gd name="connsiteX3" fmla="*/ 2019300 w 3219450"/>
              <a:gd name="connsiteY3" fmla="*/ 325437 h 1335087"/>
              <a:gd name="connsiteX4" fmla="*/ 2571750 w 3219450"/>
              <a:gd name="connsiteY4" fmla="*/ 849312 h 1335087"/>
              <a:gd name="connsiteX5" fmla="*/ 2933700 w 3219450"/>
              <a:gd name="connsiteY5" fmla="*/ 1154112 h 1335087"/>
              <a:gd name="connsiteX6" fmla="*/ 3152775 w 3219450"/>
              <a:gd name="connsiteY6" fmla="*/ 1287462 h 1335087"/>
              <a:gd name="connsiteX7" fmla="*/ 3190875 w 3219450"/>
              <a:gd name="connsiteY7" fmla="*/ 1325562 h 1335087"/>
              <a:gd name="connsiteX8" fmla="*/ 3219450 w 3219450"/>
              <a:gd name="connsiteY8" fmla="*/ 1335087 h 1335087"/>
              <a:gd name="connsiteX0" fmla="*/ 0 w 3219450"/>
              <a:gd name="connsiteY0" fmla="*/ 981075 h 1171575"/>
              <a:gd name="connsiteX1" fmla="*/ 1085850 w 3219450"/>
              <a:gd name="connsiteY1" fmla="*/ 0 h 1171575"/>
              <a:gd name="connsiteX2" fmla="*/ 1809750 w 3219450"/>
              <a:gd name="connsiteY2" fmla="*/ 0 h 1171575"/>
              <a:gd name="connsiteX3" fmla="*/ 2019300 w 3219450"/>
              <a:gd name="connsiteY3" fmla="*/ 161925 h 1171575"/>
              <a:gd name="connsiteX4" fmla="*/ 2571750 w 3219450"/>
              <a:gd name="connsiteY4" fmla="*/ 685800 h 1171575"/>
              <a:gd name="connsiteX5" fmla="*/ 2933700 w 3219450"/>
              <a:gd name="connsiteY5" fmla="*/ 990600 h 1171575"/>
              <a:gd name="connsiteX6" fmla="*/ 3152775 w 3219450"/>
              <a:gd name="connsiteY6" fmla="*/ 1123950 h 1171575"/>
              <a:gd name="connsiteX7" fmla="*/ 3190875 w 3219450"/>
              <a:gd name="connsiteY7" fmla="*/ 1162050 h 1171575"/>
              <a:gd name="connsiteX8" fmla="*/ 3219450 w 3219450"/>
              <a:gd name="connsiteY8" fmla="*/ 1171575 h 1171575"/>
              <a:gd name="connsiteX0" fmla="*/ 0 w 3219450"/>
              <a:gd name="connsiteY0" fmla="*/ 981075 h 1171575"/>
              <a:gd name="connsiteX1" fmla="*/ 1085850 w 3219450"/>
              <a:gd name="connsiteY1" fmla="*/ 0 h 1171575"/>
              <a:gd name="connsiteX2" fmla="*/ 1809750 w 3219450"/>
              <a:gd name="connsiteY2" fmla="*/ 0 h 1171575"/>
              <a:gd name="connsiteX3" fmla="*/ 2571750 w 3219450"/>
              <a:gd name="connsiteY3" fmla="*/ 685800 h 1171575"/>
              <a:gd name="connsiteX4" fmla="*/ 2933700 w 3219450"/>
              <a:gd name="connsiteY4" fmla="*/ 990600 h 1171575"/>
              <a:gd name="connsiteX5" fmla="*/ 3152775 w 3219450"/>
              <a:gd name="connsiteY5" fmla="*/ 1123950 h 1171575"/>
              <a:gd name="connsiteX6" fmla="*/ 3190875 w 3219450"/>
              <a:gd name="connsiteY6" fmla="*/ 1162050 h 1171575"/>
              <a:gd name="connsiteX7" fmla="*/ 3219450 w 3219450"/>
              <a:gd name="connsiteY7" fmla="*/ 1171575 h 1171575"/>
              <a:gd name="connsiteX0" fmla="*/ 0 w 3219450"/>
              <a:gd name="connsiteY0" fmla="*/ 981075 h 1171575"/>
              <a:gd name="connsiteX1" fmla="*/ 1085850 w 3219450"/>
              <a:gd name="connsiteY1" fmla="*/ 0 h 1171575"/>
              <a:gd name="connsiteX2" fmla="*/ 1809750 w 3219450"/>
              <a:gd name="connsiteY2" fmla="*/ 0 h 1171575"/>
              <a:gd name="connsiteX3" fmla="*/ 2933700 w 3219450"/>
              <a:gd name="connsiteY3" fmla="*/ 990600 h 1171575"/>
              <a:gd name="connsiteX4" fmla="*/ 3152775 w 3219450"/>
              <a:gd name="connsiteY4" fmla="*/ 1123950 h 1171575"/>
              <a:gd name="connsiteX5" fmla="*/ 3190875 w 3219450"/>
              <a:gd name="connsiteY5" fmla="*/ 1162050 h 1171575"/>
              <a:gd name="connsiteX6" fmla="*/ 3219450 w 3219450"/>
              <a:gd name="connsiteY6" fmla="*/ 1171575 h 1171575"/>
              <a:gd name="connsiteX0" fmla="*/ 0 w 3219450"/>
              <a:gd name="connsiteY0" fmla="*/ 981075 h 1171575"/>
              <a:gd name="connsiteX1" fmla="*/ 1085850 w 3219450"/>
              <a:gd name="connsiteY1" fmla="*/ 0 h 1171575"/>
              <a:gd name="connsiteX2" fmla="*/ 1809750 w 3219450"/>
              <a:gd name="connsiteY2" fmla="*/ 0 h 1171575"/>
              <a:gd name="connsiteX3" fmla="*/ 2933700 w 3219450"/>
              <a:gd name="connsiteY3" fmla="*/ 990600 h 1171575"/>
              <a:gd name="connsiteX4" fmla="*/ 3152775 w 3219450"/>
              <a:gd name="connsiteY4" fmla="*/ 1123950 h 1171575"/>
              <a:gd name="connsiteX5" fmla="*/ 3219450 w 3219450"/>
              <a:gd name="connsiteY5" fmla="*/ 1171575 h 1171575"/>
              <a:gd name="connsiteX0" fmla="*/ 0 w 3219450"/>
              <a:gd name="connsiteY0" fmla="*/ 981075 h 1185862"/>
              <a:gd name="connsiteX1" fmla="*/ 1085850 w 3219450"/>
              <a:gd name="connsiteY1" fmla="*/ 0 h 1185862"/>
              <a:gd name="connsiteX2" fmla="*/ 1809750 w 3219450"/>
              <a:gd name="connsiteY2" fmla="*/ 0 h 1185862"/>
              <a:gd name="connsiteX3" fmla="*/ 2933700 w 3219450"/>
              <a:gd name="connsiteY3" fmla="*/ 990600 h 1185862"/>
              <a:gd name="connsiteX4" fmla="*/ 3219450 w 3219450"/>
              <a:gd name="connsiteY4" fmla="*/ 1171575 h 1185862"/>
              <a:gd name="connsiteX0" fmla="*/ 0 w 2933700"/>
              <a:gd name="connsiteY0" fmla="*/ 981075 h 990600"/>
              <a:gd name="connsiteX1" fmla="*/ 1085850 w 2933700"/>
              <a:gd name="connsiteY1" fmla="*/ 0 h 990600"/>
              <a:gd name="connsiteX2" fmla="*/ 1809750 w 2933700"/>
              <a:gd name="connsiteY2" fmla="*/ 0 h 990600"/>
              <a:gd name="connsiteX3" fmla="*/ 2933700 w 2933700"/>
              <a:gd name="connsiteY3" fmla="*/ 990600 h 990600"/>
              <a:gd name="connsiteX0" fmla="*/ 0 w 2933700"/>
              <a:gd name="connsiteY0" fmla="*/ 981075 h 990600"/>
              <a:gd name="connsiteX1" fmla="*/ 1085850 w 2933700"/>
              <a:gd name="connsiteY1" fmla="*/ 0 h 990600"/>
              <a:gd name="connsiteX2" fmla="*/ 1809750 w 2933700"/>
              <a:gd name="connsiteY2" fmla="*/ 0 h 990600"/>
              <a:gd name="connsiteX3" fmla="*/ 2933700 w 2933700"/>
              <a:gd name="connsiteY3" fmla="*/ 990600 h 9906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33700" h="990600">
                <a:moveTo>
                  <a:pt x="0" y="981075"/>
                </a:moveTo>
                <a:lnTo>
                  <a:pt x="1085850" y="0"/>
                </a:lnTo>
                <a:lnTo>
                  <a:pt x="1809750" y="0"/>
                </a:lnTo>
                <a:lnTo>
                  <a:pt x="2933700" y="990600"/>
                </a:lnTo>
              </a:path>
            </a:pathLst>
          </a:custGeom>
          <a:ln w="222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cxnSp macro="">
        <xdr:nvCxnSpPr>
          <xdr:cNvPr id="7" name="Straight Connector 6"/>
          <xdr:cNvCxnSpPr/>
        </xdr:nvCxnSpPr>
        <xdr:spPr>
          <a:xfrm flipV="1">
            <a:off x="838200" y="1465934"/>
            <a:ext cx="2360112" cy="0"/>
          </a:xfrm>
          <a:prstGeom prst="line">
            <a:avLst/>
          </a:prstGeom>
          <a:ln w="412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>
            <a:off x="1348896" y="1535447"/>
            <a:ext cx="247911" cy="0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/>
          <xdr:cNvCxnSpPr/>
        </xdr:nvCxnSpPr>
        <xdr:spPr>
          <a:xfrm>
            <a:off x="1393521" y="1586003"/>
            <a:ext cx="164592" cy="0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>
            <a:off x="1433512" y="1638300"/>
            <a:ext cx="82296" cy="641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Freeform 13"/>
          <xdr:cNvSpPr/>
        </xdr:nvSpPr>
        <xdr:spPr>
          <a:xfrm>
            <a:off x="2117422" y="2281147"/>
            <a:ext cx="3540167" cy="284375"/>
          </a:xfrm>
          <a:custGeom>
            <a:avLst/>
            <a:gdLst>
              <a:gd name="connsiteX0" fmla="*/ 6302 w 3020607"/>
              <a:gd name="connsiteY0" fmla="*/ 216202 h 314805"/>
              <a:gd name="connsiteX1" fmla="*/ 1668415 w 3020607"/>
              <a:gd name="connsiteY1" fmla="*/ 225727 h 314805"/>
              <a:gd name="connsiteX2" fmla="*/ 2363740 w 3020607"/>
              <a:gd name="connsiteY2" fmla="*/ 230490 h 314805"/>
              <a:gd name="connsiteX3" fmla="*/ 2501852 w 3020607"/>
              <a:gd name="connsiteY3" fmla="*/ 244777 h 314805"/>
              <a:gd name="connsiteX4" fmla="*/ 2539952 w 3020607"/>
              <a:gd name="connsiteY4" fmla="*/ 249540 h 314805"/>
              <a:gd name="connsiteX5" fmla="*/ 2592340 w 3020607"/>
              <a:gd name="connsiteY5" fmla="*/ 254302 h 314805"/>
              <a:gd name="connsiteX6" fmla="*/ 2654252 w 3020607"/>
              <a:gd name="connsiteY6" fmla="*/ 263827 h 314805"/>
              <a:gd name="connsiteX7" fmla="*/ 2816177 w 3020607"/>
              <a:gd name="connsiteY7" fmla="*/ 282877 h 314805"/>
              <a:gd name="connsiteX8" fmla="*/ 2963815 w 3020607"/>
              <a:gd name="connsiteY8" fmla="*/ 273352 h 314805"/>
              <a:gd name="connsiteX9" fmla="*/ 2954290 w 3020607"/>
              <a:gd name="connsiteY9" fmla="*/ 68565 h 314805"/>
              <a:gd name="connsiteX10" fmla="*/ 2101802 w 3020607"/>
              <a:gd name="connsiteY10" fmla="*/ 59040 h 314805"/>
              <a:gd name="connsiteX11" fmla="*/ 453977 w 3020607"/>
              <a:gd name="connsiteY11" fmla="*/ 49515 h 314805"/>
              <a:gd name="connsiteX12" fmla="*/ 206327 w 3020607"/>
              <a:gd name="connsiteY12" fmla="*/ 44752 h 314805"/>
              <a:gd name="connsiteX13" fmla="*/ 111077 w 3020607"/>
              <a:gd name="connsiteY13" fmla="*/ 39990 h 314805"/>
              <a:gd name="connsiteX14" fmla="*/ 11065 w 3020607"/>
              <a:gd name="connsiteY14" fmla="*/ 30465 h 314805"/>
              <a:gd name="connsiteX15" fmla="*/ 6302 w 3020607"/>
              <a:gd name="connsiteY15" fmla="*/ 216202 h 314805"/>
              <a:gd name="connsiteX0" fmla="*/ 6302 w 3020607"/>
              <a:gd name="connsiteY0" fmla="*/ 216202 h 314805"/>
              <a:gd name="connsiteX1" fmla="*/ 1668415 w 3020607"/>
              <a:gd name="connsiteY1" fmla="*/ 225727 h 314805"/>
              <a:gd name="connsiteX2" fmla="*/ 2363740 w 3020607"/>
              <a:gd name="connsiteY2" fmla="*/ 230490 h 314805"/>
              <a:gd name="connsiteX3" fmla="*/ 2501852 w 3020607"/>
              <a:gd name="connsiteY3" fmla="*/ 244777 h 314805"/>
              <a:gd name="connsiteX4" fmla="*/ 2539952 w 3020607"/>
              <a:gd name="connsiteY4" fmla="*/ 249540 h 314805"/>
              <a:gd name="connsiteX5" fmla="*/ 2592340 w 3020607"/>
              <a:gd name="connsiteY5" fmla="*/ 254302 h 314805"/>
              <a:gd name="connsiteX6" fmla="*/ 2654252 w 3020607"/>
              <a:gd name="connsiteY6" fmla="*/ 263827 h 314805"/>
              <a:gd name="connsiteX7" fmla="*/ 2816177 w 3020607"/>
              <a:gd name="connsiteY7" fmla="*/ 282877 h 314805"/>
              <a:gd name="connsiteX8" fmla="*/ 2963815 w 3020607"/>
              <a:gd name="connsiteY8" fmla="*/ 273352 h 314805"/>
              <a:gd name="connsiteX9" fmla="*/ 2954290 w 3020607"/>
              <a:gd name="connsiteY9" fmla="*/ 68565 h 314805"/>
              <a:gd name="connsiteX10" fmla="*/ 2101802 w 3020607"/>
              <a:gd name="connsiteY10" fmla="*/ 59040 h 314805"/>
              <a:gd name="connsiteX11" fmla="*/ 453977 w 3020607"/>
              <a:gd name="connsiteY11" fmla="*/ 49515 h 314805"/>
              <a:gd name="connsiteX12" fmla="*/ 206327 w 3020607"/>
              <a:gd name="connsiteY12" fmla="*/ 44752 h 314805"/>
              <a:gd name="connsiteX13" fmla="*/ 11065 w 3020607"/>
              <a:gd name="connsiteY13" fmla="*/ 30465 h 314805"/>
              <a:gd name="connsiteX14" fmla="*/ 6302 w 3020607"/>
              <a:gd name="connsiteY14" fmla="*/ 216202 h 314805"/>
              <a:gd name="connsiteX0" fmla="*/ 6302 w 3020607"/>
              <a:gd name="connsiteY0" fmla="*/ 216202 h 314805"/>
              <a:gd name="connsiteX1" fmla="*/ 2363740 w 3020607"/>
              <a:gd name="connsiteY1" fmla="*/ 230490 h 314805"/>
              <a:gd name="connsiteX2" fmla="*/ 2501852 w 3020607"/>
              <a:gd name="connsiteY2" fmla="*/ 244777 h 314805"/>
              <a:gd name="connsiteX3" fmla="*/ 2539952 w 3020607"/>
              <a:gd name="connsiteY3" fmla="*/ 249540 h 314805"/>
              <a:gd name="connsiteX4" fmla="*/ 2592340 w 3020607"/>
              <a:gd name="connsiteY4" fmla="*/ 254302 h 314805"/>
              <a:gd name="connsiteX5" fmla="*/ 2654252 w 3020607"/>
              <a:gd name="connsiteY5" fmla="*/ 263827 h 314805"/>
              <a:gd name="connsiteX6" fmla="*/ 2816177 w 3020607"/>
              <a:gd name="connsiteY6" fmla="*/ 282877 h 314805"/>
              <a:gd name="connsiteX7" fmla="*/ 2963815 w 3020607"/>
              <a:gd name="connsiteY7" fmla="*/ 273352 h 314805"/>
              <a:gd name="connsiteX8" fmla="*/ 2954290 w 3020607"/>
              <a:gd name="connsiteY8" fmla="*/ 68565 h 314805"/>
              <a:gd name="connsiteX9" fmla="*/ 2101802 w 3020607"/>
              <a:gd name="connsiteY9" fmla="*/ 59040 h 314805"/>
              <a:gd name="connsiteX10" fmla="*/ 453977 w 3020607"/>
              <a:gd name="connsiteY10" fmla="*/ 49515 h 314805"/>
              <a:gd name="connsiteX11" fmla="*/ 206327 w 3020607"/>
              <a:gd name="connsiteY11" fmla="*/ 44752 h 314805"/>
              <a:gd name="connsiteX12" fmla="*/ 11065 w 3020607"/>
              <a:gd name="connsiteY12" fmla="*/ 30465 h 314805"/>
              <a:gd name="connsiteX13" fmla="*/ 6302 w 3020607"/>
              <a:gd name="connsiteY13" fmla="*/ 216202 h 314805"/>
              <a:gd name="connsiteX0" fmla="*/ 6302 w 3020607"/>
              <a:gd name="connsiteY0" fmla="*/ 216202 h 314805"/>
              <a:gd name="connsiteX1" fmla="*/ 2501852 w 3020607"/>
              <a:gd name="connsiteY1" fmla="*/ 244777 h 314805"/>
              <a:gd name="connsiteX2" fmla="*/ 2539952 w 3020607"/>
              <a:gd name="connsiteY2" fmla="*/ 249540 h 314805"/>
              <a:gd name="connsiteX3" fmla="*/ 2592340 w 3020607"/>
              <a:gd name="connsiteY3" fmla="*/ 254302 h 314805"/>
              <a:gd name="connsiteX4" fmla="*/ 2654252 w 3020607"/>
              <a:gd name="connsiteY4" fmla="*/ 263827 h 314805"/>
              <a:gd name="connsiteX5" fmla="*/ 2816177 w 3020607"/>
              <a:gd name="connsiteY5" fmla="*/ 282877 h 314805"/>
              <a:gd name="connsiteX6" fmla="*/ 2963815 w 3020607"/>
              <a:gd name="connsiteY6" fmla="*/ 273352 h 314805"/>
              <a:gd name="connsiteX7" fmla="*/ 2954290 w 3020607"/>
              <a:gd name="connsiteY7" fmla="*/ 68565 h 314805"/>
              <a:gd name="connsiteX8" fmla="*/ 2101802 w 3020607"/>
              <a:gd name="connsiteY8" fmla="*/ 59040 h 314805"/>
              <a:gd name="connsiteX9" fmla="*/ 453977 w 3020607"/>
              <a:gd name="connsiteY9" fmla="*/ 49515 h 314805"/>
              <a:gd name="connsiteX10" fmla="*/ 206327 w 3020607"/>
              <a:gd name="connsiteY10" fmla="*/ 44752 h 314805"/>
              <a:gd name="connsiteX11" fmla="*/ 11065 w 3020607"/>
              <a:gd name="connsiteY11" fmla="*/ 30465 h 314805"/>
              <a:gd name="connsiteX12" fmla="*/ 6302 w 3020607"/>
              <a:gd name="connsiteY12" fmla="*/ 216202 h 314805"/>
              <a:gd name="connsiteX0" fmla="*/ 6302 w 3020607"/>
              <a:gd name="connsiteY0" fmla="*/ 216202 h 314805"/>
              <a:gd name="connsiteX1" fmla="*/ 2539952 w 3020607"/>
              <a:gd name="connsiteY1" fmla="*/ 249540 h 314805"/>
              <a:gd name="connsiteX2" fmla="*/ 2592340 w 3020607"/>
              <a:gd name="connsiteY2" fmla="*/ 254302 h 314805"/>
              <a:gd name="connsiteX3" fmla="*/ 2654252 w 3020607"/>
              <a:gd name="connsiteY3" fmla="*/ 263827 h 314805"/>
              <a:gd name="connsiteX4" fmla="*/ 2816177 w 3020607"/>
              <a:gd name="connsiteY4" fmla="*/ 282877 h 314805"/>
              <a:gd name="connsiteX5" fmla="*/ 2963815 w 3020607"/>
              <a:gd name="connsiteY5" fmla="*/ 273352 h 314805"/>
              <a:gd name="connsiteX6" fmla="*/ 2954290 w 3020607"/>
              <a:gd name="connsiteY6" fmla="*/ 68565 h 314805"/>
              <a:gd name="connsiteX7" fmla="*/ 2101802 w 3020607"/>
              <a:gd name="connsiteY7" fmla="*/ 59040 h 314805"/>
              <a:gd name="connsiteX8" fmla="*/ 453977 w 3020607"/>
              <a:gd name="connsiteY8" fmla="*/ 49515 h 314805"/>
              <a:gd name="connsiteX9" fmla="*/ 206327 w 3020607"/>
              <a:gd name="connsiteY9" fmla="*/ 44752 h 314805"/>
              <a:gd name="connsiteX10" fmla="*/ 11065 w 3020607"/>
              <a:gd name="connsiteY10" fmla="*/ 30465 h 314805"/>
              <a:gd name="connsiteX11" fmla="*/ 6302 w 3020607"/>
              <a:gd name="connsiteY11" fmla="*/ 216202 h 314805"/>
              <a:gd name="connsiteX0" fmla="*/ 6302 w 3020607"/>
              <a:gd name="connsiteY0" fmla="*/ 216202 h 314805"/>
              <a:gd name="connsiteX1" fmla="*/ 2592340 w 3020607"/>
              <a:gd name="connsiteY1" fmla="*/ 254302 h 314805"/>
              <a:gd name="connsiteX2" fmla="*/ 2654252 w 3020607"/>
              <a:gd name="connsiteY2" fmla="*/ 263827 h 314805"/>
              <a:gd name="connsiteX3" fmla="*/ 2816177 w 3020607"/>
              <a:gd name="connsiteY3" fmla="*/ 282877 h 314805"/>
              <a:gd name="connsiteX4" fmla="*/ 2963815 w 3020607"/>
              <a:gd name="connsiteY4" fmla="*/ 273352 h 314805"/>
              <a:gd name="connsiteX5" fmla="*/ 2954290 w 3020607"/>
              <a:gd name="connsiteY5" fmla="*/ 68565 h 314805"/>
              <a:gd name="connsiteX6" fmla="*/ 2101802 w 3020607"/>
              <a:gd name="connsiteY6" fmla="*/ 59040 h 314805"/>
              <a:gd name="connsiteX7" fmla="*/ 453977 w 3020607"/>
              <a:gd name="connsiteY7" fmla="*/ 49515 h 314805"/>
              <a:gd name="connsiteX8" fmla="*/ 206327 w 3020607"/>
              <a:gd name="connsiteY8" fmla="*/ 44752 h 314805"/>
              <a:gd name="connsiteX9" fmla="*/ 11065 w 3020607"/>
              <a:gd name="connsiteY9" fmla="*/ 30465 h 314805"/>
              <a:gd name="connsiteX10" fmla="*/ 6302 w 3020607"/>
              <a:gd name="connsiteY10" fmla="*/ 216202 h 314805"/>
              <a:gd name="connsiteX0" fmla="*/ 6302 w 3020607"/>
              <a:gd name="connsiteY0" fmla="*/ 216202 h 314805"/>
              <a:gd name="connsiteX1" fmla="*/ 2654252 w 3020607"/>
              <a:gd name="connsiteY1" fmla="*/ 263827 h 314805"/>
              <a:gd name="connsiteX2" fmla="*/ 2816177 w 3020607"/>
              <a:gd name="connsiteY2" fmla="*/ 282877 h 314805"/>
              <a:gd name="connsiteX3" fmla="*/ 2963815 w 3020607"/>
              <a:gd name="connsiteY3" fmla="*/ 273352 h 314805"/>
              <a:gd name="connsiteX4" fmla="*/ 2954290 w 3020607"/>
              <a:gd name="connsiteY4" fmla="*/ 68565 h 314805"/>
              <a:gd name="connsiteX5" fmla="*/ 2101802 w 3020607"/>
              <a:gd name="connsiteY5" fmla="*/ 59040 h 314805"/>
              <a:gd name="connsiteX6" fmla="*/ 453977 w 3020607"/>
              <a:gd name="connsiteY6" fmla="*/ 49515 h 314805"/>
              <a:gd name="connsiteX7" fmla="*/ 206327 w 3020607"/>
              <a:gd name="connsiteY7" fmla="*/ 44752 h 314805"/>
              <a:gd name="connsiteX8" fmla="*/ 11065 w 3020607"/>
              <a:gd name="connsiteY8" fmla="*/ 30465 h 314805"/>
              <a:gd name="connsiteX9" fmla="*/ 6302 w 3020607"/>
              <a:gd name="connsiteY9" fmla="*/ 216202 h 314805"/>
              <a:gd name="connsiteX0" fmla="*/ 6302 w 3020607"/>
              <a:gd name="connsiteY0" fmla="*/ 216202 h 314805"/>
              <a:gd name="connsiteX1" fmla="*/ 2816177 w 3020607"/>
              <a:gd name="connsiteY1" fmla="*/ 282877 h 314805"/>
              <a:gd name="connsiteX2" fmla="*/ 2963815 w 3020607"/>
              <a:gd name="connsiteY2" fmla="*/ 273352 h 314805"/>
              <a:gd name="connsiteX3" fmla="*/ 2954290 w 3020607"/>
              <a:gd name="connsiteY3" fmla="*/ 68565 h 314805"/>
              <a:gd name="connsiteX4" fmla="*/ 2101802 w 3020607"/>
              <a:gd name="connsiteY4" fmla="*/ 59040 h 314805"/>
              <a:gd name="connsiteX5" fmla="*/ 453977 w 3020607"/>
              <a:gd name="connsiteY5" fmla="*/ 49515 h 314805"/>
              <a:gd name="connsiteX6" fmla="*/ 206327 w 3020607"/>
              <a:gd name="connsiteY6" fmla="*/ 44752 h 314805"/>
              <a:gd name="connsiteX7" fmla="*/ 11065 w 3020607"/>
              <a:gd name="connsiteY7" fmla="*/ 30465 h 314805"/>
              <a:gd name="connsiteX8" fmla="*/ 6302 w 3020607"/>
              <a:gd name="connsiteY8" fmla="*/ 216202 h 314805"/>
              <a:gd name="connsiteX0" fmla="*/ 6302 w 3020607"/>
              <a:gd name="connsiteY0" fmla="*/ 216202 h 273352"/>
              <a:gd name="connsiteX1" fmla="*/ 2963815 w 3020607"/>
              <a:gd name="connsiteY1" fmla="*/ 273352 h 273352"/>
              <a:gd name="connsiteX2" fmla="*/ 2954290 w 3020607"/>
              <a:gd name="connsiteY2" fmla="*/ 68565 h 273352"/>
              <a:gd name="connsiteX3" fmla="*/ 2101802 w 3020607"/>
              <a:gd name="connsiteY3" fmla="*/ 59040 h 273352"/>
              <a:gd name="connsiteX4" fmla="*/ 453977 w 3020607"/>
              <a:gd name="connsiteY4" fmla="*/ 49515 h 273352"/>
              <a:gd name="connsiteX5" fmla="*/ 206327 w 3020607"/>
              <a:gd name="connsiteY5" fmla="*/ 44752 h 273352"/>
              <a:gd name="connsiteX6" fmla="*/ 11065 w 3020607"/>
              <a:gd name="connsiteY6" fmla="*/ 30465 h 273352"/>
              <a:gd name="connsiteX7" fmla="*/ 6302 w 3020607"/>
              <a:gd name="connsiteY7" fmla="*/ 216202 h 273352"/>
              <a:gd name="connsiteX0" fmla="*/ 6302 w 2963815"/>
              <a:gd name="connsiteY0" fmla="*/ 216202 h 273352"/>
              <a:gd name="connsiteX1" fmla="*/ 2963815 w 2963815"/>
              <a:gd name="connsiteY1" fmla="*/ 273352 h 273352"/>
              <a:gd name="connsiteX2" fmla="*/ 2954290 w 2963815"/>
              <a:gd name="connsiteY2" fmla="*/ 68565 h 273352"/>
              <a:gd name="connsiteX3" fmla="*/ 2101802 w 2963815"/>
              <a:gd name="connsiteY3" fmla="*/ 59040 h 273352"/>
              <a:gd name="connsiteX4" fmla="*/ 453977 w 2963815"/>
              <a:gd name="connsiteY4" fmla="*/ 49515 h 273352"/>
              <a:gd name="connsiteX5" fmla="*/ 206327 w 2963815"/>
              <a:gd name="connsiteY5" fmla="*/ 44752 h 273352"/>
              <a:gd name="connsiteX6" fmla="*/ 11065 w 2963815"/>
              <a:gd name="connsiteY6" fmla="*/ 30465 h 273352"/>
              <a:gd name="connsiteX7" fmla="*/ 6302 w 2963815"/>
              <a:gd name="connsiteY7" fmla="*/ 216202 h 273352"/>
              <a:gd name="connsiteX0" fmla="*/ 6302 w 2963815"/>
              <a:gd name="connsiteY0" fmla="*/ 185737 h 242887"/>
              <a:gd name="connsiteX1" fmla="*/ 2963815 w 2963815"/>
              <a:gd name="connsiteY1" fmla="*/ 242887 h 242887"/>
              <a:gd name="connsiteX2" fmla="*/ 2954290 w 2963815"/>
              <a:gd name="connsiteY2" fmla="*/ 38100 h 242887"/>
              <a:gd name="connsiteX3" fmla="*/ 453977 w 2963815"/>
              <a:gd name="connsiteY3" fmla="*/ 19050 h 242887"/>
              <a:gd name="connsiteX4" fmla="*/ 206327 w 2963815"/>
              <a:gd name="connsiteY4" fmla="*/ 14287 h 242887"/>
              <a:gd name="connsiteX5" fmla="*/ 11065 w 2963815"/>
              <a:gd name="connsiteY5" fmla="*/ 0 h 242887"/>
              <a:gd name="connsiteX6" fmla="*/ 6302 w 2963815"/>
              <a:gd name="connsiteY6" fmla="*/ 185737 h 242887"/>
              <a:gd name="connsiteX0" fmla="*/ 6302 w 2963815"/>
              <a:gd name="connsiteY0" fmla="*/ 185737 h 242887"/>
              <a:gd name="connsiteX1" fmla="*/ 2963815 w 2963815"/>
              <a:gd name="connsiteY1" fmla="*/ 242887 h 242887"/>
              <a:gd name="connsiteX2" fmla="*/ 2954290 w 2963815"/>
              <a:gd name="connsiteY2" fmla="*/ 38100 h 242887"/>
              <a:gd name="connsiteX3" fmla="*/ 206327 w 2963815"/>
              <a:gd name="connsiteY3" fmla="*/ 14287 h 242887"/>
              <a:gd name="connsiteX4" fmla="*/ 11065 w 2963815"/>
              <a:gd name="connsiteY4" fmla="*/ 0 h 242887"/>
              <a:gd name="connsiteX5" fmla="*/ 6302 w 2963815"/>
              <a:gd name="connsiteY5" fmla="*/ 185737 h 242887"/>
              <a:gd name="connsiteX0" fmla="*/ 6302 w 2963815"/>
              <a:gd name="connsiteY0" fmla="*/ 210343 h 267493"/>
              <a:gd name="connsiteX1" fmla="*/ 2963815 w 2963815"/>
              <a:gd name="connsiteY1" fmla="*/ 267493 h 267493"/>
              <a:gd name="connsiteX2" fmla="*/ 2954290 w 2963815"/>
              <a:gd name="connsiteY2" fmla="*/ 62706 h 267493"/>
              <a:gd name="connsiteX3" fmla="*/ 11065 w 2963815"/>
              <a:gd name="connsiteY3" fmla="*/ 24606 h 267493"/>
              <a:gd name="connsiteX4" fmla="*/ 6302 w 2963815"/>
              <a:gd name="connsiteY4" fmla="*/ 210343 h 267493"/>
              <a:gd name="connsiteX0" fmla="*/ 6302 w 2963815"/>
              <a:gd name="connsiteY0" fmla="*/ 185737 h 242887"/>
              <a:gd name="connsiteX1" fmla="*/ 2963815 w 2963815"/>
              <a:gd name="connsiteY1" fmla="*/ 242887 h 242887"/>
              <a:gd name="connsiteX2" fmla="*/ 2954290 w 2963815"/>
              <a:gd name="connsiteY2" fmla="*/ 38100 h 242887"/>
              <a:gd name="connsiteX3" fmla="*/ 11065 w 2963815"/>
              <a:gd name="connsiteY3" fmla="*/ 0 h 242887"/>
              <a:gd name="connsiteX4" fmla="*/ 6302 w 2963815"/>
              <a:gd name="connsiteY4" fmla="*/ 185737 h 242887"/>
              <a:gd name="connsiteX0" fmla="*/ 0 w 2957513"/>
              <a:gd name="connsiteY0" fmla="*/ 185737 h 242887"/>
              <a:gd name="connsiteX1" fmla="*/ 2957513 w 2957513"/>
              <a:gd name="connsiteY1" fmla="*/ 242887 h 242887"/>
              <a:gd name="connsiteX2" fmla="*/ 2947988 w 2957513"/>
              <a:gd name="connsiteY2" fmla="*/ 38100 h 242887"/>
              <a:gd name="connsiteX3" fmla="*/ 4763 w 2957513"/>
              <a:gd name="connsiteY3" fmla="*/ 0 h 242887"/>
              <a:gd name="connsiteX4" fmla="*/ 0 w 2957513"/>
              <a:gd name="connsiteY4" fmla="*/ 185737 h 242887"/>
              <a:gd name="connsiteX0" fmla="*/ 0 w 2962276"/>
              <a:gd name="connsiteY0" fmla="*/ 185737 h 242887"/>
              <a:gd name="connsiteX1" fmla="*/ 2957513 w 2962276"/>
              <a:gd name="connsiteY1" fmla="*/ 242887 h 242887"/>
              <a:gd name="connsiteX2" fmla="*/ 2962276 w 2962276"/>
              <a:gd name="connsiteY2" fmla="*/ 52387 h 242887"/>
              <a:gd name="connsiteX3" fmla="*/ 4763 w 2962276"/>
              <a:gd name="connsiteY3" fmla="*/ 0 h 242887"/>
              <a:gd name="connsiteX4" fmla="*/ 0 w 2962276"/>
              <a:gd name="connsiteY4" fmla="*/ 185737 h 24288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962276" h="242887">
                <a:moveTo>
                  <a:pt x="0" y="185737"/>
                </a:moveTo>
                <a:lnTo>
                  <a:pt x="2957513" y="242887"/>
                </a:lnTo>
                <a:lnTo>
                  <a:pt x="2962276" y="52387"/>
                </a:lnTo>
                <a:lnTo>
                  <a:pt x="4763" y="0"/>
                </a:lnTo>
                <a:lnTo>
                  <a:pt x="0" y="185737"/>
                </a:lnTo>
                <a:close/>
              </a:path>
            </a:pathLst>
          </a:custGeom>
          <a:solidFill>
            <a:schemeClr val="bg1">
              <a:lumMod val="75000"/>
              <a:alpha val="5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cxnSp macro="">
        <xdr:nvCxnSpPr>
          <xdr:cNvPr id="19" name="Straight Connector 18"/>
          <xdr:cNvCxnSpPr/>
        </xdr:nvCxnSpPr>
        <xdr:spPr>
          <a:xfrm>
            <a:off x="5657589" y="2375937"/>
            <a:ext cx="1695711" cy="0"/>
          </a:xfrm>
          <a:prstGeom prst="line">
            <a:avLst/>
          </a:prstGeom>
          <a:ln w="412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590550</xdr:colOff>
      <xdr:row>15</xdr:row>
      <xdr:rowOff>152400</xdr:rowOff>
    </xdr:from>
    <xdr:to>
      <xdr:col>9</xdr:col>
      <xdr:colOff>200025</xdr:colOff>
      <xdr:row>17</xdr:row>
      <xdr:rowOff>238125</xdr:rowOff>
    </xdr:to>
    <xdr:grpSp>
      <xdr:nvGrpSpPr>
        <xdr:cNvPr id="20" name="Group 19"/>
        <xdr:cNvGrpSpPr/>
      </xdr:nvGrpSpPr>
      <xdr:grpSpPr>
        <a:xfrm>
          <a:off x="11277600" y="3895725"/>
          <a:ext cx="1228725" cy="581025"/>
          <a:chOff x="6238876" y="3571875"/>
          <a:chExt cx="1028699" cy="533400"/>
        </a:xfrm>
      </xdr:grpSpPr>
      <xdr:sp macro="" textlink="">
        <xdr:nvSpPr>
          <xdr:cNvPr id="12" name="Rounded Rectangle 11"/>
          <xdr:cNvSpPr/>
        </xdr:nvSpPr>
        <xdr:spPr>
          <a:xfrm>
            <a:off x="6267450" y="3600449"/>
            <a:ext cx="1000125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5" name="TextBox 14">
            <a:hlinkClick xmlns:r="http://schemas.openxmlformats.org/officeDocument/2006/relationships" r:id="rId1"/>
          </xdr:cNvPr>
          <xdr:cNvSpPr txBox="1"/>
        </xdr:nvSpPr>
        <xdr:spPr>
          <a:xfrm>
            <a:off x="6238876" y="3571875"/>
            <a:ext cx="1009650" cy="53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400" b="1"/>
              <a:t>Help - Culvert Inlet Type</a:t>
            </a:r>
          </a:p>
        </xdr:txBody>
      </xdr:sp>
    </xdr:grpSp>
    <xdr:clientData/>
  </xdr:twoCellAnchor>
  <xdr:twoCellAnchor>
    <xdr:from>
      <xdr:col>7</xdr:col>
      <xdr:colOff>447669</xdr:colOff>
      <xdr:row>9</xdr:row>
      <xdr:rowOff>142875</xdr:rowOff>
    </xdr:from>
    <xdr:to>
      <xdr:col>9</xdr:col>
      <xdr:colOff>448420</xdr:colOff>
      <xdr:row>14</xdr:row>
      <xdr:rowOff>123825</xdr:rowOff>
    </xdr:to>
    <xdr:grpSp>
      <xdr:nvGrpSpPr>
        <xdr:cNvPr id="21" name="Group 20"/>
        <xdr:cNvGrpSpPr/>
      </xdr:nvGrpSpPr>
      <xdr:grpSpPr>
        <a:xfrm>
          <a:off x="11134719" y="2381250"/>
          <a:ext cx="1620001" cy="1238250"/>
          <a:chOff x="8991600" y="1057274"/>
          <a:chExt cx="1400175" cy="581025"/>
        </a:xfrm>
      </xdr:grpSpPr>
      <xdr:sp macro="" textlink="">
        <xdr:nvSpPr>
          <xdr:cNvPr id="16" name="Rounded Rectangle 15"/>
          <xdr:cNvSpPr/>
        </xdr:nvSpPr>
        <xdr:spPr>
          <a:xfrm>
            <a:off x="8991600" y="1066800"/>
            <a:ext cx="1400175" cy="550972"/>
          </a:xfrm>
          <a:prstGeom prst="roundRect">
            <a:avLst/>
          </a:prstGeom>
          <a:scene3d>
            <a:camera prst="orthographicFront"/>
            <a:lightRig rig="threePt" dir="t"/>
          </a:scene3d>
          <a:sp3d>
            <a:bevelT/>
            <a:bevelB w="165100" prst="coolSlant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en-US" sz="1100"/>
              <a:t>                                           </a:t>
            </a:r>
          </a:p>
        </xdr:txBody>
      </xdr:sp>
      <xdr:sp macro="" textlink="">
        <xdr:nvSpPr>
          <xdr:cNvPr id="17" name="TextBox 16">
            <a:hlinkClick xmlns:r="http://schemas.openxmlformats.org/officeDocument/2006/relationships" r:id="rId2"/>
          </xdr:cNvPr>
          <xdr:cNvSpPr txBox="1"/>
        </xdr:nvSpPr>
        <xdr:spPr>
          <a:xfrm>
            <a:off x="9001125" y="1057274"/>
            <a:ext cx="1381557" cy="5810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 prstMaterial="metal">
            <a:bevelT w="165100" prst="coolSlant"/>
            <a:bevelB w="165100" prst="coolSlan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400" b="1">
                <a:solidFill>
                  <a:schemeClr val="bg1"/>
                </a:solidFill>
              </a:rPr>
              <a:t> General</a:t>
            </a:r>
          </a:p>
          <a:p>
            <a:pPr algn="ctr"/>
            <a:r>
              <a:rPr lang="en-US" sz="1400" b="1">
                <a:solidFill>
                  <a:schemeClr val="bg1"/>
                </a:solidFill>
              </a:rPr>
              <a:t>Spreadsheet </a:t>
            </a:r>
            <a:r>
              <a:rPr lang="en-US" sz="1400" b="1" baseline="0">
                <a:solidFill>
                  <a:schemeClr val="bg1"/>
                </a:solidFill>
              </a:rPr>
              <a:t> Help Information</a:t>
            </a:r>
            <a:endParaRPr lang="en-US" sz="1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781050</xdr:colOff>
      <xdr:row>20</xdr:row>
      <xdr:rowOff>123825</xdr:rowOff>
    </xdr:from>
    <xdr:to>
      <xdr:col>5</xdr:col>
      <xdr:colOff>1524000</xdr:colOff>
      <xdr:row>22</xdr:row>
      <xdr:rowOff>47625</xdr:rowOff>
    </xdr:to>
    <xdr:grpSp>
      <xdr:nvGrpSpPr>
        <xdr:cNvPr id="24" name="Group 23"/>
        <xdr:cNvGrpSpPr/>
      </xdr:nvGrpSpPr>
      <xdr:grpSpPr>
        <a:xfrm>
          <a:off x="781050" y="5105400"/>
          <a:ext cx="8534400" cy="400050"/>
          <a:chOff x="3048000" y="4410075"/>
          <a:chExt cx="1628775" cy="400050"/>
        </a:xfrm>
      </xdr:grpSpPr>
      <xdr:sp macro="[0]!Solver1" textlink="">
        <xdr:nvSpPr>
          <xdr:cNvPr id="22" name="Rounded Rectangle 21"/>
          <xdr:cNvSpPr/>
        </xdr:nvSpPr>
        <xdr:spPr>
          <a:xfrm>
            <a:off x="3048000" y="4448175"/>
            <a:ext cx="1628775" cy="361950"/>
          </a:xfrm>
          <a:prstGeom prst="roundRect">
            <a:avLst/>
          </a:prstGeom>
          <a:solidFill>
            <a:srgbClr val="66FFFF"/>
          </a:solidFill>
          <a:ln>
            <a:noFill/>
          </a:ln>
          <a:scene3d>
            <a:camera prst="orthographicFront"/>
            <a:lightRig rig="threePt" dir="t"/>
          </a:scene3d>
          <a:sp3d prstMaterial="matte">
            <a:bevelT prst="relaxedInset"/>
            <a:bevelB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[0]!Solver2" textlink="">
        <xdr:nvSpPr>
          <xdr:cNvPr id="23" name="TextBox 22"/>
          <xdr:cNvSpPr txBox="1"/>
        </xdr:nvSpPr>
        <xdr:spPr>
          <a:xfrm>
            <a:off x="3057525" y="4410075"/>
            <a:ext cx="1619250" cy="400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2000" b="1" i="1">
                <a:solidFill>
                  <a:schemeClr val="bg2">
                    <a:lumMod val="25000"/>
                  </a:schemeClr>
                </a:solidFill>
              </a:rPr>
              <a:t>Compute</a:t>
            </a:r>
            <a:endParaRPr lang="en-US" sz="2400" b="1" i="1">
              <a:solidFill>
                <a:schemeClr val="bg2">
                  <a:lumMod val="25000"/>
                </a:schemeClr>
              </a:solidFill>
            </a:endParaRPr>
          </a:p>
        </xdr:txBody>
      </xdr:sp>
    </xdr:grpSp>
    <xdr:clientData fPrintsWithSheet="0"/>
  </xdr:twoCellAnchor>
  <xdr:twoCellAnchor>
    <xdr:from>
      <xdr:col>7</xdr:col>
      <xdr:colOff>151164</xdr:colOff>
      <xdr:row>3</xdr:row>
      <xdr:rowOff>108996</xdr:rowOff>
    </xdr:from>
    <xdr:to>
      <xdr:col>10</xdr:col>
      <xdr:colOff>438149</xdr:colOff>
      <xdr:row>9</xdr:row>
      <xdr:rowOff>104778</xdr:rowOff>
    </xdr:to>
    <xdr:grpSp>
      <xdr:nvGrpSpPr>
        <xdr:cNvPr id="28" name="Group 27"/>
        <xdr:cNvGrpSpPr/>
      </xdr:nvGrpSpPr>
      <xdr:grpSpPr>
        <a:xfrm>
          <a:off x="10838214" y="918621"/>
          <a:ext cx="2611085" cy="1424532"/>
          <a:chOff x="3112701" y="9093200"/>
          <a:chExt cx="2165650" cy="842668"/>
        </a:xfrm>
      </xdr:grpSpPr>
      <xdr:sp macro="" textlink="">
        <xdr:nvSpPr>
          <xdr:cNvPr id="30" name="Oval 29">
            <a:hlinkClick xmlns:r="http://schemas.openxmlformats.org/officeDocument/2006/relationships" r:id="rId3"/>
          </xdr:cNvPr>
          <xdr:cNvSpPr/>
        </xdr:nvSpPr>
        <xdr:spPr>
          <a:xfrm>
            <a:off x="3124200" y="9093200"/>
            <a:ext cx="2082800" cy="825500"/>
          </a:xfrm>
          <a:prstGeom prst="ellipse">
            <a:avLst/>
          </a:prstGeom>
          <a:solidFill>
            <a:schemeClr val="accent6">
              <a:lumMod val="60000"/>
              <a:lumOff val="40000"/>
            </a:schemeClr>
          </a:solidFill>
          <a:scene3d>
            <a:camera prst="orthographicFront"/>
            <a:lightRig rig="threePt" dir="t"/>
          </a:scene3d>
          <a:sp3d>
            <a:bevelT/>
            <a:bevelB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31" name="TextBox 30">
            <a:hlinkClick xmlns:r="http://schemas.openxmlformats.org/officeDocument/2006/relationships" r:id="rId3"/>
          </xdr:cNvPr>
          <xdr:cNvSpPr txBox="1"/>
        </xdr:nvSpPr>
        <xdr:spPr>
          <a:xfrm>
            <a:off x="3112701" y="9114543"/>
            <a:ext cx="2165650" cy="821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IF YOU ARE USING THIS SPREADSHEET FOR THE FIRST TIME ON THIS COMPUTER</a:t>
            </a:r>
          </a:p>
          <a:p>
            <a:pPr algn="ctr"/>
            <a:r>
              <a:rPr lang="en-US" sz="1400" b="1">
                <a:solidFill>
                  <a:srgbClr val="FF0000"/>
                </a:solidFill>
              </a:rPr>
              <a:t>CLICK</a:t>
            </a:r>
            <a:r>
              <a:rPr lang="en-US" sz="1400" b="1" baseline="0">
                <a:solidFill>
                  <a:srgbClr val="FF0000"/>
                </a:solidFill>
              </a:rPr>
              <a:t> HERE AND</a:t>
            </a:r>
            <a:endParaRPr lang="en-US" sz="1400" b="1">
              <a:solidFill>
                <a:srgbClr val="FF0000"/>
              </a:solidFill>
            </a:endParaRPr>
          </a:p>
          <a:p>
            <a:pPr algn="ctr"/>
            <a:r>
              <a:rPr lang="en-US" sz="1400" b="1">
                <a:solidFill>
                  <a:srgbClr val="FF0000"/>
                </a:solidFill>
              </a:rPr>
              <a:t>READ THIS FIRST!</a:t>
            </a:r>
          </a:p>
        </xdr:txBody>
      </xdr:sp>
    </xdr:grpSp>
    <xdr:clientData/>
  </xdr:twoCellAnchor>
  <xdr:twoCellAnchor>
    <xdr:from>
      <xdr:col>2</xdr:col>
      <xdr:colOff>428625</xdr:colOff>
      <xdr:row>22</xdr:row>
      <xdr:rowOff>123825</xdr:rowOff>
    </xdr:from>
    <xdr:to>
      <xdr:col>4</xdr:col>
      <xdr:colOff>161925</xdr:colOff>
      <xdr:row>24</xdr:row>
      <xdr:rowOff>123825</xdr:rowOff>
    </xdr:to>
    <xdr:sp macro="[0]!PrintSheet" textlink="">
      <xdr:nvSpPr>
        <xdr:cNvPr id="26" name="Horizontal Scroll 25"/>
        <xdr:cNvSpPr/>
      </xdr:nvSpPr>
      <xdr:spPr>
        <a:xfrm>
          <a:off x="4191000" y="5581650"/>
          <a:ext cx="1666875" cy="476250"/>
        </a:xfrm>
        <a:prstGeom prst="horizontalScroll">
          <a:avLst/>
        </a:prstGeom>
        <a:effectLst>
          <a:innerShdw blurRad="114300">
            <a:prstClr val="black"/>
          </a:inn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 fPrintsWithSheet="0"/>
  </xdr:twoCellAnchor>
  <xdr:twoCellAnchor>
    <xdr:from>
      <xdr:col>2</xdr:col>
      <xdr:colOff>504826</xdr:colOff>
      <xdr:row>22</xdr:row>
      <xdr:rowOff>161924</xdr:rowOff>
    </xdr:from>
    <xdr:to>
      <xdr:col>4</xdr:col>
      <xdr:colOff>190500</xdr:colOff>
      <xdr:row>24</xdr:row>
      <xdr:rowOff>9525</xdr:rowOff>
    </xdr:to>
    <xdr:sp macro="[0]!PrintSheet" textlink="">
      <xdr:nvSpPr>
        <xdr:cNvPr id="27" name="TextBox 26"/>
        <xdr:cNvSpPr txBox="1"/>
      </xdr:nvSpPr>
      <xdr:spPr>
        <a:xfrm>
          <a:off x="4267201" y="5619749"/>
          <a:ext cx="1704974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800" b="1" i="1"/>
            <a:t>Print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1</xdr:row>
      <xdr:rowOff>171451</xdr:rowOff>
    </xdr:from>
    <xdr:to>
      <xdr:col>12</xdr:col>
      <xdr:colOff>485775</xdr:colOff>
      <xdr:row>6</xdr:row>
      <xdr:rowOff>104776</xdr:rowOff>
    </xdr:to>
    <xdr:grpSp>
      <xdr:nvGrpSpPr>
        <xdr:cNvPr id="5" name="Group 4"/>
        <xdr:cNvGrpSpPr/>
      </xdr:nvGrpSpPr>
      <xdr:grpSpPr>
        <a:xfrm>
          <a:off x="10312400" y="374651"/>
          <a:ext cx="2352675" cy="885825"/>
          <a:chOff x="10334625" y="390525"/>
          <a:chExt cx="2309813" cy="485776"/>
        </a:xfrm>
      </xdr:grpSpPr>
      <xdr:sp macro="" textlink="">
        <xdr:nvSpPr>
          <xdr:cNvPr id="2" name="Rounded Rectangle 1"/>
          <xdr:cNvSpPr/>
        </xdr:nvSpPr>
        <xdr:spPr>
          <a:xfrm>
            <a:off x="10334625" y="390525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en-US" sz="1100"/>
              <a:t>                           </a:t>
            </a:r>
          </a:p>
        </xdr:txBody>
      </xdr:sp>
      <xdr:sp macro="" textlink="">
        <xdr:nvSpPr>
          <xdr:cNvPr id="3" name="TextBox 2">
            <a:hlinkClick xmlns:r="http://schemas.openxmlformats.org/officeDocument/2006/relationships" r:id="rId1"/>
          </xdr:cNvPr>
          <xdr:cNvSpPr txBox="1"/>
        </xdr:nvSpPr>
        <xdr:spPr>
          <a:xfrm>
            <a:off x="10296525" y="371476"/>
            <a:ext cx="2352675" cy="495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r>
              <a:rPr lang="en-US" sz="1600" b="1"/>
              <a:t>    Return to Main</a:t>
            </a:r>
            <a:r>
              <a:rPr lang="en-US" sz="1600" b="1" baseline="0"/>
              <a:t> Window </a:t>
            </a:r>
            <a:endParaRPr lang="en-US" sz="1600" b="1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275541</xdr:colOff>
      <xdr:row>2</xdr:row>
      <xdr:rowOff>367049</xdr:rowOff>
    </xdr:from>
    <xdr:to>
      <xdr:col>32</xdr:col>
      <xdr:colOff>506004</xdr:colOff>
      <xdr:row>14</xdr:row>
      <xdr:rowOff>119818</xdr:rowOff>
    </xdr:to>
    <xdr:pic>
      <xdr:nvPicPr>
        <xdr:cNvPr id="4" name="Picture 3" descr="Projecting Thin Ed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2500" r="30118" b="17500"/>
        <a:stretch>
          <a:fillRect/>
        </a:stretch>
      </xdr:blipFill>
      <xdr:spPr>
        <a:xfrm>
          <a:off x="15456010" y="1176674"/>
          <a:ext cx="4480994" cy="2253082"/>
        </a:xfrm>
        <a:prstGeom prst="rect">
          <a:avLst/>
        </a:prstGeom>
      </xdr:spPr>
    </xdr:pic>
    <xdr:clientData/>
  </xdr:twoCellAnchor>
  <xdr:twoCellAnchor editAs="oneCell">
    <xdr:from>
      <xdr:col>0</xdr:col>
      <xdr:colOff>497680</xdr:colOff>
      <xdr:row>28</xdr:row>
      <xdr:rowOff>73026</xdr:rowOff>
    </xdr:from>
    <xdr:to>
      <xdr:col>2</xdr:col>
      <xdr:colOff>283844</xdr:colOff>
      <xdr:row>38</xdr:row>
      <xdr:rowOff>37685</xdr:rowOff>
    </xdr:to>
    <xdr:pic>
      <xdr:nvPicPr>
        <xdr:cNvPr id="5" name="Picture 4" descr="Headwall Groove Edg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6194"/>
        <a:stretch>
          <a:fillRect/>
        </a:stretch>
      </xdr:blipFill>
      <xdr:spPr>
        <a:xfrm>
          <a:off x="497680" y="3930651"/>
          <a:ext cx="1000602" cy="1869659"/>
        </a:xfrm>
        <a:prstGeom prst="rect">
          <a:avLst/>
        </a:prstGeom>
      </xdr:spPr>
    </xdr:pic>
    <xdr:clientData/>
  </xdr:twoCellAnchor>
  <xdr:twoCellAnchor editAs="oneCell">
    <xdr:from>
      <xdr:col>3</xdr:col>
      <xdr:colOff>407195</xdr:colOff>
      <xdr:row>27</xdr:row>
      <xdr:rowOff>153034</xdr:rowOff>
    </xdr:from>
    <xdr:to>
      <xdr:col>8</xdr:col>
      <xdr:colOff>309563</xdr:colOff>
      <xdr:row>38</xdr:row>
      <xdr:rowOff>113506</xdr:rowOff>
    </xdr:to>
    <xdr:pic>
      <xdr:nvPicPr>
        <xdr:cNvPr id="6" name="Picture 5" descr="Headwall Groove Edge #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6254"/>
        <a:stretch>
          <a:fillRect/>
        </a:stretch>
      </xdr:blipFill>
      <xdr:spPr>
        <a:xfrm>
          <a:off x="2228851" y="3820159"/>
          <a:ext cx="2938462" cy="2055972"/>
        </a:xfrm>
        <a:prstGeom prst="rect">
          <a:avLst/>
        </a:prstGeom>
      </xdr:spPr>
    </xdr:pic>
    <xdr:clientData/>
  </xdr:twoCellAnchor>
  <xdr:twoCellAnchor editAs="oneCell">
    <xdr:from>
      <xdr:col>14</xdr:col>
      <xdr:colOff>264318</xdr:colOff>
      <xdr:row>19</xdr:row>
      <xdr:rowOff>83343</xdr:rowOff>
    </xdr:from>
    <xdr:to>
      <xdr:col>20</xdr:col>
      <xdr:colOff>28575</xdr:colOff>
      <xdr:row>38</xdr:row>
      <xdr:rowOff>85724</xdr:rowOff>
    </xdr:to>
    <xdr:pic>
      <xdr:nvPicPr>
        <xdr:cNvPr id="7" name="Picture 6" descr="Headwall Square Ed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5381" y="3964781"/>
          <a:ext cx="3407569" cy="3621881"/>
        </a:xfrm>
        <a:prstGeom prst="rect">
          <a:avLst/>
        </a:prstGeom>
      </xdr:spPr>
    </xdr:pic>
    <xdr:clientData/>
  </xdr:twoCellAnchor>
  <xdr:twoCellAnchor editAs="oneCell">
    <xdr:from>
      <xdr:col>24</xdr:col>
      <xdr:colOff>64288</xdr:colOff>
      <xdr:row>20</xdr:row>
      <xdr:rowOff>171448</xdr:rowOff>
    </xdr:from>
    <xdr:to>
      <xdr:col>33</xdr:col>
      <xdr:colOff>583400</xdr:colOff>
      <xdr:row>38</xdr:row>
      <xdr:rowOff>135729</xdr:rowOff>
    </xdr:to>
    <xdr:pic>
      <xdr:nvPicPr>
        <xdr:cNvPr id="8" name="Picture 7" descr="Mitered Entranc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637538" y="3648073"/>
          <a:ext cx="5984081" cy="3393281"/>
        </a:xfrm>
        <a:prstGeom prst="rect">
          <a:avLst/>
        </a:prstGeom>
      </xdr:spPr>
    </xdr:pic>
    <xdr:clientData/>
  </xdr:twoCellAnchor>
  <xdr:twoCellAnchor>
    <xdr:from>
      <xdr:col>1</xdr:col>
      <xdr:colOff>152391</xdr:colOff>
      <xdr:row>3</xdr:row>
      <xdr:rowOff>103354</xdr:rowOff>
    </xdr:from>
    <xdr:to>
      <xdr:col>8</xdr:col>
      <xdr:colOff>187322</xdr:colOff>
      <xdr:row>14</xdr:row>
      <xdr:rowOff>117067</xdr:rowOff>
    </xdr:to>
    <xdr:grpSp>
      <xdr:nvGrpSpPr>
        <xdr:cNvPr id="16" name="Group 15"/>
        <xdr:cNvGrpSpPr/>
      </xdr:nvGrpSpPr>
      <xdr:grpSpPr>
        <a:xfrm>
          <a:off x="761991" y="1322554"/>
          <a:ext cx="4302131" cy="2109213"/>
          <a:chOff x="761991" y="1303504"/>
          <a:chExt cx="4302131" cy="2109213"/>
        </a:xfrm>
      </xdr:grpSpPr>
      <xdr:pic>
        <xdr:nvPicPr>
          <xdr:cNvPr id="2" name="Picture 1" descr="Projecting Groove Edg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 t="8372" r="21453" b="11163"/>
          <a:stretch>
            <a:fillRect/>
          </a:stretch>
        </xdr:blipFill>
        <xdr:spPr>
          <a:xfrm>
            <a:off x="761991" y="1303504"/>
            <a:ext cx="4302131" cy="2109213"/>
          </a:xfrm>
          <a:prstGeom prst="rect">
            <a:avLst/>
          </a:prstGeom>
        </xdr:spPr>
      </xdr:pic>
      <xdr:sp macro="" textlink="">
        <xdr:nvSpPr>
          <xdr:cNvPr id="12" name="Freeform 11"/>
          <xdr:cNvSpPr/>
        </xdr:nvSpPr>
        <xdr:spPr>
          <a:xfrm>
            <a:off x="942973" y="1519236"/>
            <a:ext cx="4117183" cy="1788319"/>
          </a:xfrm>
          <a:custGeom>
            <a:avLst/>
            <a:gdLst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607344 w 4143375"/>
              <a:gd name="connsiteY6" fmla="*/ 476250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416844 w 4143375"/>
              <a:gd name="connsiteY6" fmla="*/ 535781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35983 w 4143375"/>
              <a:gd name="connsiteY3" fmla="*/ 588168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14674 w 4143375"/>
              <a:gd name="connsiteY2" fmla="*/ 721519 h 1785938"/>
              <a:gd name="connsiteX3" fmla="*/ 1835983 w 4143375"/>
              <a:gd name="connsiteY3" fmla="*/ 588168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2381 h 1788319"/>
              <a:gd name="connsiteX1" fmla="*/ 3802981 w 4143375"/>
              <a:gd name="connsiteY1" fmla="*/ 0 h 1788319"/>
              <a:gd name="connsiteX2" fmla="*/ 2714674 w 4143375"/>
              <a:gd name="connsiteY2" fmla="*/ 723900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273844 w 4143375"/>
              <a:gd name="connsiteY20" fmla="*/ 2381 h 1788319"/>
              <a:gd name="connsiteX0" fmla="*/ 273844 w 4143375"/>
              <a:gd name="connsiteY0" fmla="*/ 2381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273844 w 4143375"/>
              <a:gd name="connsiteY20" fmla="*/ 2381 h 1788319"/>
              <a:gd name="connsiteX0" fmla="*/ 48532 w 4143375"/>
              <a:gd name="connsiteY0" fmla="*/ 16668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48532 w 4143375"/>
              <a:gd name="connsiteY20" fmla="*/ 16668 h 1788319"/>
              <a:gd name="connsiteX0" fmla="*/ 50903 w 4143375"/>
              <a:gd name="connsiteY0" fmla="*/ 4762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50903 w 4143375"/>
              <a:gd name="connsiteY20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881063 w 4126774"/>
              <a:gd name="connsiteY16" fmla="*/ 1204913 h 1788319"/>
              <a:gd name="connsiteX17" fmla="*/ 559594 w 4126774"/>
              <a:gd name="connsiteY17" fmla="*/ 1204913 h 1788319"/>
              <a:gd name="connsiteX18" fmla="*/ 333375 w 4126774"/>
              <a:gd name="connsiteY18" fmla="*/ 1145381 h 1788319"/>
              <a:gd name="connsiteX19" fmla="*/ 0 w 4126774"/>
              <a:gd name="connsiteY19" fmla="*/ 1169194 h 1788319"/>
              <a:gd name="connsiteX20" fmla="*/ 50903 w 4126774"/>
              <a:gd name="connsiteY20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79128 w 4126774"/>
              <a:gd name="connsiteY16" fmla="*/ 1312070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0 w 4126774"/>
              <a:gd name="connsiteY20" fmla="*/ 1169194 h 1788319"/>
              <a:gd name="connsiteX21" fmla="*/ 50903 w 4126774"/>
              <a:gd name="connsiteY21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0 w 4126774"/>
              <a:gd name="connsiteY20" fmla="*/ 1169194 h 1788319"/>
              <a:gd name="connsiteX21" fmla="*/ 50903 w 4126774"/>
              <a:gd name="connsiteY21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163649 w 4126774"/>
              <a:gd name="connsiteY20" fmla="*/ 1159670 h 1788319"/>
              <a:gd name="connsiteX21" fmla="*/ 0 w 4126774"/>
              <a:gd name="connsiteY21" fmla="*/ 1169194 h 1788319"/>
              <a:gd name="connsiteX22" fmla="*/ 50903 w 4126774"/>
              <a:gd name="connsiteY22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163649 w 4126774"/>
              <a:gd name="connsiteY20" fmla="*/ 1138239 h 1788319"/>
              <a:gd name="connsiteX21" fmla="*/ 0 w 4126774"/>
              <a:gd name="connsiteY21" fmla="*/ 1169194 h 1788319"/>
              <a:gd name="connsiteX22" fmla="*/ 50903 w 4126774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4103057 w 4103057"/>
              <a:gd name="connsiteY9" fmla="*/ 1004887 h 1788319"/>
              <a:gd name="connsiteX10" fmla="*/ 4095846 w 4103057"/>
              <a:gd name="connsiteY10" fmla="*/ 1788319 h 1788319"/>
              <a:gd name="connsiteX11" fmla="*/ 1666971 w 4103057"/>
              <a:gd name="connsiteY11" fmla="*/ 1395413 h 1788319"/>
              <a:gd name="connsiteX12" fmla="*/ 1512190 w 4103057"/>
              <a:gd name="connsiteY12" fmla="*/ 1443038 h 1788319"/>
              <a:gd name="connsiteX13" fmla="*/ 1381221 w 4103057"/>
              <a:gd name="connsiteY13" fmla="*/ 1419225 h 1788319"/>
              <a:gd name="connsiteX14" fmla="*/ 1357408 w 4103057"/>
              <a:gd name="connsiteY14" fmla="*/ 1443038 h 1788319"/>
              <a:gd name="connsiteX15" fmla="*/ 1202627 w 4103057"/>
              <a:gd name="connsiteY15" fmla="*/ 1395413 h 1788319"/>
              <a:gd name="connsiteX16" fmla="*/ 1067270 w 4103057"/>
              <a:gd name="connsiteY16" fmla="*/ 1300164 h 1788319"/>
              <a:gd name="connsiteX17" fmla="*/ 857346 w 4103057"/>
              <a:gd name="connsiteY17" fmla="*/ 1204913 h 1788319"/>
              <a:gd name="connsiteX18" fmla="*/ 535877 w 4103057"/>
              <a:gd name="connsiteY18" fmla="*/ 1204913 h 1788319"/>
              <a:gd name="connsiteX19" fmla="*/ 309658 w 4103057"/>
              <a:gd name="connsiteY19" fmla="*/ 1145381 h 1788319"/>
              <a:gd name="connsiteX20" fmla="*/ 139932 w 4103057"/>
              <a:gd name="connsiteY20" fmla="*/ 1138239 h 1788319"/>
              <a:gd name="connsiteX21" fmla="*/ 0 w 4103057"/>
              <a:gd name="connsiteY21" fmla="*/ 1159669 h 1788319"/>
              <a:gd name="connsiteX22" fmla="*/ 27186 w 4103057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3901 w 4103057"/>
              <a:gd name="connsiteY9" fmla="*/ 69770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70281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43022 w 4103057"/>
              <a:gd name="connsiteY13" fmla="*/ 1445419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85945 w 4103057"/>
              <a:gd name="connsiteY12" fmla="*/ 1395413 h 1788319"/>
              <a:gd name="connsiteX13" fmla="*/ 1543022 w 4103057"/>
              <a:gd name="connsiteY13" fmla="*/ 1445419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61989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71005 w 4103057"/>
              <a:gd name="connsiteY6" fmla="*/ 531018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41026 w 4103057"/>
              <a:gd name="connsiteY7" fmla="*/ 590550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4103057 w 4103057"/>
              <a:gd name="connsiteY12" fmla="*/ 1004887 h 1788319"/>
              <a:gd name="connsiteX13" fmla="*/ 4095846 w 4103057"/>
              <a:gd name="connsiteY13" fmla="*/ 1788319 h 1788319"/>
              <a:gd name="connsiteX14" fmla="*/ 1685945 w 4103057"/>
              <a:gd name="connsiteY14" fmla="*/ 1395413 h 1788319"/>
              <a:gd name="connsiteX15" fmla="*/ 1543022 w 4103057"/>
              <a:gd name="connsiteY15" fmla="*/ 1445419 h 1788319"/>
              <a:gd name="connsiteX16" fmla="*/ 1388337 w 4103057"/>
              <a:gd name="connsiteY16" fmla="*/ 1419225 h 1788319"/>
              <a:gd name="connsiteX17" fmla="*/ 1376382 w 4103057"/>
              <a:gd name="connsiteY17" fmla="*/ 1452563 h 1788319"/>
              <a:gd name="connsiteX18" fmla="*/ 1202627 w 4103057"/>
              <a:gd name="connsiteY18" fmla="*/ 1395413 h 1788319"/>
              <a:gd name="connsiteX19" fmla="*/ 1067270 w 4103057"/>
              <a:gd name="connsiteY19" fmla="*/ 1300164 h 1788319"/>
              <a:gd name="connsiteX20" fmla="*/ 857346 w 4103057"/>
              <a:gd name="connsiteY20" fmla="*/ 1204913 h 1788319"/>
              <a:gd name="connsiteX21" fmla="*/ 535877 w 4103057"/>
              <a:gd name="connsiteY21" fmla="*/ 1204913 h 1788319"/>
              <a:gd name="connsiteX22" fmla="*/ 309658 w 4103057"/>
              <a:gd name="connsiteY22" fmla="*/ 1145381 h 1788319"/>
              <a:gd name="connsiteX23" fmla="*/ 139932 w 4103057"/>
              <a:gd name="connsiteY23" fmla="*/ 1138239 h 1788319"/>
              <a:gd name="connsiteX24" fmla="*/ 0 w 4103057"/>
              <a:gd name="connsiteY24" fmla="*/ 1159669 h 1788319"/>
              <a:gd name="connsiteX25" fmla="*/ 27186 w 4103057"/>
              <a:gd name="connsiteY25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00170 w 4103057"/>
              <a:gd name="connsiteY12" fmla="*/ 795339 h 1788319"/>
              <a:gd name="connsiteX13" fmla="*/ 4103057 w 4103057"/>
              <a:gd name="connsiteY13" fmla="*/ 1004887 h 1788319"/>
              <a:gd name="connsiteX14" fmla="*/ 4095846 w 4103057"/>
              <a:gd name="connsiteY14" fmla="*/ 1788319 h 1788319"/>
              <a:gd name="connsiteX15" fmla="*/ 1685945 w 4103057"/>
              <a:gd name="connsiteY15" fmla="*/ 1395413 h 1788319"/>
              <a:gd name="connsiteX16" fmla="*/ 1543022 w 4103057"/>
              <a:gd name="connsiteY16" fmla="*/ 1445419 h 1788319"/>
              <a:gd name="connsiteX17" fmla="*/ 1388337 w 4103057"/>
              <a:gd name="connsiteY17" fmla="*/ 1419225 h 1788319"/>
              <a:gd name="connsiteX18" fmla="*/ 1376382 w 4103057"/>
              <a:gd name="connsiteY18" fmla="*/ 1452563 h 1788319"/>
              <a:gd name="connsiteX19" fmla="*/ 1202627 w 4103057"/>
              <a:gd name="connsiteY19" fmla="*/ 1395413 h 1788319"/>
              <a:gd name="connsiteX20" fmla="*/ 1067270 w 4103057"/>
              <a:gd name="connsiteY20" fmla="*/ 1300164 h 1788319"/>
              <a:gd name="connsiteX21" fmla="*/ 857346 w 4103057"/>
              <a:gd name="connsiteY21" fmla="*/ 1204913 h 1788319"/>
              <a:gd name="connsiteX22" fmla="*/ 535877 w 4103057"/>
              <a:gd name="connsiteY22" fmla="*/ 1204913 h 1788319"/>
              <a:gd name="connsiteX23" fmla="*/ 309658 w 4103057"/>
              <a:gd name="connsiteY23" fmla="*/ 1145381 h 1788319"/>
              <a:gd name="connsiteX24" fmla="*/ 139932 w 4103057"/>
              <a:gd name="connsiteY24" fmla="*/ 1138239 h 1788319"/>
              <a:gd name="connsiteX25" fmla="*/ 0 w 4103057"/>
              <a:gd name="connsiteY25" fmla="*/ 1159669 h 1788319"/>
              <a:gd name="connsiteX26" fmla="*/ 27186 w 4103057"/>
              <a:gd name="connsiteY26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4103057 w 4103057"/>
              <a:gd name="connsiteY13" fmla="*/ 1004887 h 1788319"/>
              <a:gd name="connsiteX14" fmla="*/ 4095846 w 4103057"/>
              <a:gd name="connsiteY14" fmla="*/ 1788319 h 1788319"/>
              <a:gd name="connsiteX15" fmla="*/ 1685945 w 4103057"/>
              <a:gd name="connsiteY15" fmla="*/ 1395413 h 1788319"/>
              <a:gd name="connsiteX16" fmla="*/ 1543022 w 4103057"/>
              <a:gd name="connsiteY16" fmla="*/ 1445419 h 1788319"/>
              <a:gd name="connsiteX17" fmla="*/ 1388337 w 4103057"/>
              <a:gd name="connsiteY17" fmla="*/ 1419225 h 1788319"/>
              <a:gd name="connsiteX18" fmla="*/ 1376382 w 4103057"/>
              <a:gd name="connsiteY18" fmla="*/ 1452563 h 1788319"/>
              <a:gd name="connsiteX19" fmla="*/ 1202627 w 4103057"/>
              <a:gd name="connsiteY19" fmla="*/ 1395413 h 1788319"/>
              <a:gd name="connsiteX20" fmla="*/ 1067270 w 4103057"/>
              <a:gd name="connsiteY20" fmla="*/ 1300164 h 1788319"/>
              <a:gd name="connsiteX21" fmla="*/ 857346 w 4103057"/>
              <a:gd name="connsiteY21" fmla="*/ 1204913 h 1788319"/>
              <a:gd name="connsiteX22" fmla="*/ 535877 w 4103057"/>
              <a:gd name="connsiteY22" fmla="*/ 1204913 h 1788319"/>
              <a:gd name="connsiteX23" fmla="*/ 309658 w 4103057"/>
              <a:gd name="connsiteY23" fmla="*/ 1145381 h 1788319"/>
              <a:gd name="connsiteX24" fmla="*/ 139932 w 4103057"/>
              <a:gd name="connsiteY24" fmla="*/ 1138239 h 1788319"/>
              <a:gd name="connsiteX25" fmla="*/ 0 w 4103057"/>
              <a:gd name="connsiteY25" fmla="*/ 1159669 h 1788319"/>
              <a:gd name="connsiteX26" fmla="*/ 27186 w 4103057"/>
              <a:gd name="connsiteY26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4103057 w 4103057"/>
              <a:gd name="connsiteY14" fmla="*/ 1004887 h 1788319"/>
              <a:gd name="connsiteX15" fmla="*/ 4095846 w 4103057"/>
              <a:gd name="connsiteY15" fmla="*/ 1788319 h 1788319"/>
              <a:gd name="connsiteX16" fmla="*/ 1685945 w 4103057"/>
              <a:gd name="connsiteY16" fmla="*/ 1395413 h 1788319"/>
              <a:gd name="connsiteX17" fmla="*/ 1543022 w 4103057"/>
              <a:gd name="connsiteY17" fmla="*/ 1445419 h 1788319"/>
              <a:gd name="connsiteX18" fmla="*/ 1388337 w 4103057"/>
              <a:gd name="connsiteY18" fmla="*/ 1419225 h 1788319"/>
              <a:gd name="connsiteX19" fmla="*/ 1376382 w 4103057"/>
              <a:gd name="connsiteY19" fmla="*/ 1452563 h 1788319"/>
              <a:gd name="connsiteX20" fmla="*/ 1202627 w 4103057"/>
              <a:gd name="connsiteY20" fmla="*/ 1395413 h 1788319"/>
              <a:gd name="connsiteX21" fmla="*/ 1067270 w 4103057"/>
              <a:gd name="connsiteY21" fmla="*/ 1300164 h 1788319"/>
              <a:gd name="connsiteX22" fmla="*/ 857346 w 4103057"/>
              <a:gd name="connsiteY22" fmla="*/ 1204913 h 1788319"/>
              <a:gd name="connsiteX23" fmla="*/ 535877 w 4103057"/>
              <a:gd name="connsiteY23" fmla="*/ 1204913 h 1788319"/>
              <a:gd name="connsiteX24" fmla="*/ 309658 w 4103057"/>
              <a:gd name="connsiteY24" fmla="*/ 1145381 h 1788319"/>
              <a:gd name="connsiteX25" fmla="*/ 139932 w 4103057"/>
              <a:gd name="connsiteY25" fmla="*/ 1138239 h 1788319"/>
              <a:gd name="connsiteX26" fmla="*/ 0 w 4103057"/>
              <a:gd name="connsiteY26" fmla="*/ 1159669 h 1788319"/>
              <a:gd name="connsiteX27" fmla="*/ 27186 w 4103057"/>
              <a:gd name="connsiteY27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84775 w 4103057"/>
              <a:gd name="connsiteY14" fmla="*/ 831058 h 1788319"/>
              <a:gd name="connsiteX15" fmla="*/ 4103057 w 4103057"/>
              <a:gd name="connsiteY15" fmla="*/ 1004887 h 1788319"/>
              <a:gd name="connsiteX16" fmla="*/ 4095846 w 4103057"/>
              <a:gd name="connsiteY16" fmla="*/ 1788319 h 1788319"/>
              <a:gd name="connsiteX17" fmla="*/ 1685945 w 4103057"/>
              <a:gd name="connsiteY17" fmla="*/ 1395413 h 1788319"/>
              <a:gd name="connsiteX18" fmla="*/ 1543022 w 4103057"/>
              <a:gd name="connsiteY18" fmla="*/ 1445419 h 1788319"/>
              <a:gd name="connsiteX19" fmla="*/ 1388337 w 4103057"/>
              <a:gd name="connsiteY19" fmla="*/ 1419225 h 1788319"/>
              <a:gd name="connsiteX20" fmla="*/ 1376382 w 4103057"/>
              <a:gd name="connsiteY20" fmla="*/ 1452563 h 1788319"/>
              <a:gd name="connsiteX21" fmla="*/ 1202627 w 4103057"/>
              <a:gd name="connsiteY21" fmla="*/ 1395413 h 1788319"/>
              <a:gd name="connsiteX22" fmla="*/ 1067270 w 4103057"/>
              <a:gd name="connsiteY22" fmla="*/ 1300164 h 1788319"/>
              <a:gd name="connsiteX23" fmla="*/ 857346 w 4103057"/>
              <a:gd name="connsiteY23" fmla="*/ 1204913 h 1788319"/>
              <a:gd name="connsiteX24" fmla="*/ 535877 w 4103057"/>
              <a:gd name="connsiteY24" fmla="*/ 1204913 h 1788319"/>
              <a:gd name="connsiteX25" fmla="*/ 309658 w 4103057"/>
              <a:gd name="connsiteY25" fmla="*/ 1145381 h 1788319"/>
              <a:gd name="connsiteX26" fmla="*/ 139932 w 4103057"/>
              <a:gd name="connsiteY26" fmla="*/ 1138239 h 1788319"/>
              <a:gd name="connsiteX27" fmla="*/ 0 w 4103057"/>
              <a:gd name="connsiteY27" fmla="*/ 1159669 h 1788319"/>
              <a:gd name="connsiteX28" fmla="*/ 27186 w 4103057"/>
              <a:gd name="connsiteY28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52489 h 1788319"/>
              <a:gd name="connsiteX15" fmla="*/ 4103057 w 4103057"/>
              <a:gd name="connsiteY15" fmla="*/ 1004887 h 1788319"/>
              <a:gd name="connsiteX16" fmla="*/ 4095846 w 4103057"/>
              <a:gd name="connsiteY16" fmla="*/ 1788319 h 1788319"/>
              <a:gd name="connsiteX17" fmla="*/ 1685945 w 4103057"/>
              <a:gd name="connsiteY17" fmla="*/ 1395413 h 1788319"/>
              <a:gd name="connsiteX18" fmla="*/ 1543022 w 4103057"/>
              <a:gd name="connsiteY18" fmla="*/ 1445419 h 1788319"/>
              <a:gd name="connsiteX19" fmla="*/ 1388337 w 4103057"/>
              <a:gd name="connsiteY19" fmla="*/ 1419225 h 1788319"/>
              <a:gd name="connsiteX20" fmla="*/ 1376382 w 4103057"/>
              <a:gd name="connsiteY20" fmla="*/ 1452563 h 1788319"/>
              <a:gd name="connsiteX21" fmla="*/ 1202627 w 4103057"/>
              <a:gd name="connsiteY21" fmla="*/ 1395413 h 1788319"/>
              <a:gd name="connsiteX22" fmla="*/ 1067270 w 4103057"/>
              <a:gd name="connsiteY22" fmla="*/ 1300164 h 1788319"/>
              <a:gd name="connsiteX23" fmla="*/ 857346 w 4103057"/>
              <a:gd name="connsiteY23" fmla="*/ 1204913 h 1788319"/>
              <a:gd name="connsiteX24" fmla="*/ 535877 w 4103057"/>
              <a:gd name="connsiteY24" fmla="*/ 1204913 h 1788319"/>
              <a:gd name="connsiteX25" fmla="*/ 309658 w 4103057"/>
              <a:gd name="connsiteY25" fmla="*/ 1145381 h 1788319"/>
              <a:gd name="connsiteX26" fmla="*/ 139932 w 4103057"/>
              <a:gd name="connsiteY26" fmla="*/ 1138239 h 1788319"/>
              <a:gd name="connsiteX27" fmla="*/ 0 w 4103057"/>
              <a:gd name="connsiteY27" fmla="*/ 1159669 h 1788319"/>
              <a:gd name="connsiteX28" fmla="*/ 27186 w 4103057"/>
              <a:gd name="connsiteY28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4103057 w 4103057"/>
              <a:gd name="connsiteY15" fmla="*/ 1004887 h 1788319"/>
              <a:gd name="connsiteX16" fmla="*/ 4095846 w 4103057"/>
              <a:gd name="connsiteY16" fmla="*/ 1788319 h 1788319"/>
              <a:gd name="connsiteX17" fmla="*/ 1685945 w 4103057"/>
              <a:gd name="connsiteY17" fmla="*/ 1395413 h 1788319"/>
              <a:gd name="connsiteX18" fmla="*/ 1543022 w 4103057"/>
              <a:gd name="connsiteY18" fmla="*/ 1445419 h 1788319"/>
              <a:gd name="connsiteX19" fmla="*/ 1388337 w 4103057"/>
              <a:gd name="connsiteY19" fmla="*/ 1419225 h 1788319"/>
              <a:gd name="connsiteX20" fmla="*/ 1376382 w 4103057"/>
              <a:gd name="connsiteY20" fmla="*/ 1452563 h 1788319"/>
              <a:gd name="connsiteX21" fmla="*/ 1202627 w 4103057"/>
              <a:gd name="connsiteY21" fmla="*/ 1395413 h 1788319"/>
              <a:gd name="connsiteX22" fmla="*/ 1067270 w 4103057"/>
              <a:gd name="connsiteY22" fmla="*/ 1300164 h 1788319"/>
              <a:gd name="connsiteX23" fmla="*/ 857346 w 4103057"/>
              <a:gd name="connsiteY23" fmla="*/ 1204913 h 1788319"/>
              <a:gd name="connsiteX24" fmla="*/ 535877 w 4103057"/>
              <a:gd name="connsiteY24" fmla="*/ 1204913 h 1788319"/>
              <a:gd name="connsiteX25" fmla="*/ 309658 w 4103057"/>
              <a:gd name="connsiteY25" fmla="*/ 1145381 h 1788319"/>
              <a:gd name="connsiteX26" fmla="*/ 139932 w 4103057"/>
              <a:gd name="connsiteY26" fmla="*/ 1138239 h 1788319"/>
              <a:gd name="connsiteX27" fmla="*/ 0 w 4103057"/>
              <a:gd name="connsiteY27" fmla="*/ 1159669 h 1788319"/>
              <a:gd name="connsiteX28" fmla="*/ 27186 w 4103057"/>
              <a:gd name="connsiteY28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4103057 w 4103057"/>
              <a:gd name="connsiteY15" fmla="*/ 1004887 h 1788319"/>
              <a:gd name="connsiteX16" fmla="*/ 4095846 w 4103057"/>
              <a:gd name="connsiteY16" fmla="*/ 1788319 h 1788319"/>
              <a:gd name="connsiteX17" fmla="*/ 1685945 w 4103057"/>
              <a:gd name="connsiteY17" fmla="*/ 1395413 h 1788319"/>
              <a:gd name="connsiteX18" fmla="*/ 1543022 w 4103057"/>
              <a:gd name="connsiteY18" fmla="*/ 1445419 h 1788319"/>
              <a:gd name="connsiteX19" fmla="*/ 1388337 w 4103057"/>
              <a:gd name="connsiteY19" fmla="*/ 1419225 h 1788319"/>
              <a:gd name="connsiteX20" fmla="*/ 1376382 w 4103057"/>
              <a:gd name="connsiteY20" fmla="*/ 1452563 h 1788319"/>
              <a:gd name="connsiteX21" fmla="*/ 1202627 w 4103057"/>
              <a:gd name="connsiteY21" fmla="*/ 1395413 h 1788319"/>
              <a:gd name="connsiteX22" fmla="*/ 1067270 w 4103057"/>
              <a:gd name="connsiteY22" fmla="*/ 1300164 h 1788319"/>
              <a:gd name="connsiteX23" fmla="*/ 857346 w 4103057"/>
              <a:gd name="connsiteY23" fmla="*/ 1204913 h 1788319"/>
              <a:gd name="connsiteX24" fmla="*/ 535877 w 4103057"/>
              <a:gd name="connsiteY24" fmla="*/ 1204913 h 1788319"/>
              <a:gd name="connsiteX25" fmla="*/ 309658 w 4103057"/>
              <a:gd name="connsiteY25" fmla="*/ 1145381 h 1788319"/>
              <a:gd name="connsiteX26" fmla="*/ 139932 w 4103057"/>
              <a:gd name="connsiteY26" fmla="*/ 1138239 h 1788319"/>
              <a:gd name="connsiteX27" fmla="*/ 0 w 4103057"/>
              <a:gd name="connsiteY27" fmla="*/ 1159669 h 1788319"/>
              <a:gd name="connsiteX28" fmla="*/ 27186 w 4103057"/>
              <a:gd name="connsiteY28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2886370 w 4103057"/>
              <a:gd name="connsiteY15" fmla="*/ 881064 h 1788319"/>
              <a:gd name="connsiteX16" fmla="*/ 4103057 w 4103057"/>
              <a:gd name="connsiteY16" fmla="*/ 1004887 h 1788319"/>
              <a:gd name="connsiteX17" fmla="*/ 4095846 w 4103057"/>
              <a:gd name="connsiteY17" fmla="*/ 1788319 h 1788319"/>
              <a:gd name="connsiteX18" fmla="*/ 1685945 w 4103057"/>
              <a:gd name="connsiteY18" fmla="*/ 1395413 h 1788319"/>
              <a:gd name="connsiteX19" fmla="*/ 1543022 w 4103057"/>
              <a:gd name="connsiteY19" fmla="*/ 1445419 h 1788319"/>
              <a:gd name="connsiteX20" fmla="*/ 1388337 w 4103057"/>
              <a:gd name="connsiteY20" fmla="*/ 1419225 h 1788319"/>
              <a:gd name="connsiteX21" fmla="*/ 1376382 w 4103057"/>
              <a:gd name="connsiteY21" fmla="*/ 1452563 h 1788319"/>
              <a:gd name="connsiteX22" fmla="*/ 1202627 w 4103057"/>
              <a:gd name="connsiteY22" fmla="*/ 1395413 h 1788319"/>
              <a:gd name="connsiteX23" fmla="*/ 1067270 w 4103057"/>
              <a:gd name="connsiteY23" fmla="*/ 1300164 h 1788319"/>
              <a:gd name="connsiteX24" fmla="*/ 857346 w 4103057"/>
              <a:gd name="connsiteY24" fmla="*/ 1204913 h 1788319"/>
              <a:gd name="connsiteX25" fmla="*/ 535877 w 4103057"/>
              <a:gd name="connsiteY25" fmla="*/ 1204913 h 1788319"/>
              <a:gd name="connsiteX26" fmla="*/ 309658 w 4103057"/>
              <a:gd name="connsiteY26" fmla="*/ 1145381 h 1788319"/>
              <a:gd name="connsiteX27" fmla="*/ 139932 w 4103057"/>
              <a:gd name="connsiteY27" fmla="*/ 1138239 h 1788319"/>
              <a:gd name="connsiteX28" fmla="*/ 0 w 4103057"/>
              <a:gd name="connsiteY28" fmla="*/ 1159669 h 1788319"/>
              <a:gd name="connsiteX29" fmla="*/ 27186 w 4103057"/>
              <a:gd name="connsiteY29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2886370 w 4103057"/>
              <a:gd name="connsiteY15" fmla="*/ 881064 h 1788319"/>
              <a:gd name="connsiteX16" fmla="*/ 3355969 w 4103057"/>
              <a:gd name="connsiteY16" fmla="*/ 890589 h 1788319"/>
              <a:gd name="connsiteX17" fmla="*/ 4103057 w 4103057"/>
              <a:gd name="connsiteY17" fmla="*/ 1004887 h 1788319"/>
              <a:gd name="connsiteX18" fmla="*/ 4095846 w 4103057"/>
              <a:gd name="connsiteY18" fmla="*/ 1788319 h 1788319"/>
              <a:gd name="connsiteX19" fmla="*/ 1685945 w 4103057"/>
              <a:gd name="connsiteY19" fmla="*/ 1395413 h 1788319"/>
              <a:gd name="connsiteX20" fmla="*/ 1543022 w 4103057"/>
              <a:gd name="connsiteY20" fmla="*/ 1445419 h 1788319"/>
              <a:gd name="connsiteX21" fmla="*/ 1388337 w 4103057"/>
              <a:gd name="connsiteY21" fmla="*/ 1419225 h 1788319"/>
              <a:gd name="connsiteX22" fmla="*/ 1376382 w 4103057"/>
              <a:gd name="connsiteY22" fmla="*/ 1452563 h 1788319"/>
              <a:gd name="connsiteX23" fmla="*/ 1202627 w 4103057"/>
              <a:gd name="connsiteY23" fmla="*/ 1395413 h 1788319"/>
              <a:gd name="connsiteX24" fmla="*/ 1067270 w 4103057"/>
              <a:gd name="connsiteY24" fmla="*/ 1300164 h 1788319"/>
              <a:gd name="connsiteX25" fmla="*/ 857346 w 4103057"/>
              <a:gd name="connsiteY25" fmla="*/ 1204913 h 1788319"/>
              <a:gd name="connsiteX26" fmla="*/ 535877 w 4103057"/>
              <a:gd name="connsiteY26" fmla="*/ 1204913 h 1788319"/>
              <a:gd name="connsiteX27" fmla="*/ 309658 w 4103057"/>
              <a:gd name="connsiteY27" fmla="*/ 1145381 h 1788319"/>
              <a:gd name="connsiteX28" fmla="*/ 139932 w 4103057"/>
              <a:gd name="connsiteY28" fmla="*/ 1138239 h 1788319"/>
              <a:gd name="connsiteX29" fmla="*/ 0 w 4103057"/>
              <a:gd name="connsiteY29" fmla="*/ 1159669 h 1788319"/>
              <a:gd name="connsiteX30" fmla="*/ 27186 w 4103057"/>
              <a:gd name="connsiteY30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2886370 w 4103057"/>
              <a:gd name="connsiteY15" fmla="*/ 881064 h 1788319"/>
              <a:gd name="connsiteX16" fmla="*/ 3114054 w 4103057"/>
              <a:gd name="connsiteY16" fmla="*/ 919164 h 1788319"/>
              <a:gd name="connsiteX17" fmla="*/ 4103057 w 4103057"/>
              <a:gd name="connsiteY17" fmla="*/ 1004887 h 1788319"/>
              <a:gd name="connsiteX18" fmla="*/ 4095846 w 4103057"/>
              <a:gd name="connsiteY18" fmla="*/ 1788319 h 1788319"/>
              <a:gd name="connsiteX19" fmla="*/ 1685945 w 4103057"/>
              <a:gd name="connsiteY19" fmla="*/ 1395413 h 1788319"/>
              <a:gd name="connsiteX20" fmla="*/ 1543022 w 4103057"/>
              <a:gd name="connsiteY20" fmla="*/ 1445419 h 1788319"/>
              <a:gd name="connsiteX21" fmla="*/ 1388337 w 4103057"/>
              <a:gd name="connsiteY21" fmla="*/ 1419225 h 1788319"/>
              <a:gd name="connsiteX22" fmla="*/ 1376382 w 4103057"/>
              <a:gd name="connsiteY22" fmla="*/ 1452563 h 1788319"/>
              <a:gd name="connsiteX23" fmla="*/ 1202627 w 4103057"/>
              <a:gd name="connsiteY23" fmla="*/ 1395413 h 1788319"/>
              <a:gd name="connsiteX24" fmla="*/ 1067270 w 4103057"/>
              <a:gd name="connsiteY24" fmla="*/ 1300164 h 1788319"/>
              <a:gd name="connsiteX25" fmla="*/ 857346 w 4103057"/>
              <a:gd name="connsiteY25" fmla="*/ 1204913 h 1788319"/>
              <a:gd name="connsiteX26" fmla="*/ 535877 w 4103057"/>
              <a:gd name="connsiteY26" fmla="*/ 1204913 h 1788319"/>
              <a:gd name="connsiteX27" fmla="*/ 309658 w 4103057"/>
              <a:gd name="connsiteY27" fmla="*/ 1145381 h 1788319"/>
              <a:gd name="connsiteX28" fmla="*/ 139932 w 4103057"/>
              <a:gd name="connsiteY28" fmla="*/ 1138239 h 1788319"/>
              <a:gd name="connsiteX29" fmla="*/ 0 w 4103057"/>
              <a:gd name="connsiteY29" fmla="*/ 1159669 h 1788319"/>
              <a:gd name="connsiteX30" fmla="*/ 27186 w 4103057"/>
              <a:gd name="connsiteY30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624424 w 4103057"/>
              <a:gd name="connsiteY7" fmla="*/ 607219 h 1788319"/>
              <a:gd name="connsiteX8" fmla="*/ 1774127 w 4103057"/>
              <a:gd name="connsiteY8" fmla="*/ 657225 h 1788319"/>
              <a:gd name="connsiteX9" fmla="*/ 1921084 w 4103057"/>
              <a:gd name="connsiteY9" fmla="*/ 714377 h 1788319"/>
              <a:gd name="connsiteX10" fmla="*/ 2113194 w 4103057"/>
              <a:gd name="connsiteY10" fmla="*/ 757239 h 1788319"/>
              <a:gd name="connsiteX11" fmla="*/ 2298186 w 4103057"/>
              <a:gd name="connsiteY11" fmla="*/ 781052 h 1788319"/>
              <a:gd name="connsiteX12" fmla="*/ 2419144 w 4103057"/>
              <a:gd name="connsiteY12" fmla="*/ 804864 h 1788319"/>
              <a:gd name="connsiteX13" fmla="*/ 2518756 w 4103057"/>
              <a:gd name="connsiteY13" fmla="*/ 812008 h 1788319"/>
              <a:gd name="connsiteX14" fmla="*/ 2606509 w 4103057"/>
              <a:gd name="connsiteY14" fmla="*/ 847726 h 1788319"/>
              <a:gd name="connsiteX15" fmla="*/ 2886370 w 4103057"/>
              <a:gd name="connsiteY15" fmla="*/ 881064 h 1788319"/>
              <a:gd name="connsiteX16" fmla="*/ 3114054 w 4103057"/>
              <a:gd name="connsiteY16" fmla="*/ 919164 h 1788319"/>
              <a:gd name="connsiteX17" fmla="*/ 4103057 w 4103057"/>
              <a:gd name="connsiteY17" fmla="*/ 1004887 h 1788319"/>
              <a:gd name="connsiteX18" fmla="*/ 4095846 w 4103057"/>
              <a:gd name="connsiteY18" fmla="*/ 1788319 h 1788319"/>
              <a:gd name="connsiteX19" fmla="*/ 1685945 w 4103057"/>
              <a:gd name="connsiteY19" fmla="*/ 1395413 h 1788319"/>
              <a:gd name="connsiteX20" fmla="*/ 1543022 w 4103057"/>
              <a:gd name="connsiteY20" fmla="*/ 1445419 h 1788319"/>
              <a:gd name="connsiteX21" fmla="*/ 1388337 w 4103057"/>
              <a:gd name="connsiteY21" fmla="*/ 1419225 h 1788319"/>
              <a:gd name="connsiteX22" fmla="*/ 1376382 w 4103057"/>
              <a:gd name="connsiteY22" fmla="*/ 1452563 h 1788319"/>
              <a:gd name="connsiteX23" fmla="*/ 1202627 w 4103057"/>
              <a:gd name="connsiteY23" fmla="*/ 1395413 h 1788319"/>
              <a:gd name="connsiteX24" fmla="*/ 1067270 w 4103057"/>
              <a:gd name="connsiteY24" fmla="*/ 1300164 h 1788319"/>
              <a:gd name="connsiteX25" fmla="*/ 857346 w 4103057"/>
              <a:gd name="connsiteY25" fmla="*/ 1204913 h 1788319"/>
              <a:gd name="connsiteX26" fmla="*/ 535877 w 4103057"/>
              <a:gd name="connsiteY26" fmla="*/ 1204913 h 1788319"/>
              <a:gd name="connsiteX27" fmla="*/ 309658 w 4103057"/>
              <a:gd name="connsiteY27" fmla="*/ 1145381 h 1788319"/>
              <a:gd name="connsiteX28" fmla="*/ 139932 w 4103057"/>
              <a:gd name="connsiteY28" fmla="*/ 1138239 h 1788319"/>
              <a:gd name="connsiteX29" fmla="*/ 0 w 4103057"/>
              <a:gd name="connsiteY29" fmla="*/ 1159669 h 1788319"/>
              <a:gd name="connsiteX30" fmla="*/ 27186 w 4103057"/>
              <a:gd name="connsiteY30" fmla="*/ 4762 h 1788319"/>
              <a:gd name="connsiteX0" fmla="*/ 27186 w 4100686"/>
              <a:gd name="connsiteY0" fmla="*/ 4762 h 1788319"/>
              <a:gd name="connsiteX1" fmla="*/ 3779264 w 4100686"/>
              <a:gd name="connsiteY1" fmla="*/ 0 h 1788319"/>
              <a:gd name="connsiteX2" fmla="*/ 2683842 w 4100686"/>
              <a:gd name="connsiteY2" fmla="*/ 728663 h 1788319"/>
              <a:gd name="connsiteX3" fmla="*/ 1812266 w 4100686"/>
              <a:gd name="connsiteY3" fmla="*/ 590549 h 1788319"/>
              <a:gd name="connsiteX4" fmla="*/ 1714596 w 4100686"/>
              <a:gd name="connsiteY4" fmla="*/ 478631 h 1788319"/>
              <a:gd name="connsiteX5" fmla="*/ 1583627 w 4100686"/>
              <a:gd name="connsiteY5" fmla="*/ 478631 h 1788319"/>
              <a:gd name="connsiteX6" fmla="*/ 1580492 w 4100686"/>
              <a:gd name="connsiteY6" fmla="*/ 531018 h 1788319"/>
              <a:gd name="connsiteX7" fmla="*/ 1624424 w 4100686"/>
              <a:gd name="connsiteY7" fmla="*/ 607219 h 1788319"/>
              <a:gd name="connsiteX8" fmla="*/ 1774127 w 4100686"/>
              <a:gd name="connsiteY8" fmla="*/ 657225 h 1788319"/>
              <a:gd name="connsiteX9" fmla="*/ 1921084 w 4100686"/>
              <a:gd name="connsiteY9" fmla="*/ 714377 h 1788319"/>
              <a:gd name="connsiteX10" fmla="*/ 2113194 w 4100686"/>
              <a:gd name="connsiteY10" fmla="*/ 757239 h 1788319"/>
              <a:gd name="connsiteX11" fmla="*/ 2298186 w 4100686"/>
              <a:gd name="connsiteY11" fmla="*/ 781052 h 1788319"/>
              <a:gd name="connsiteX12" fmla="*/ 2419144 w 4100686"/>
              <a:gd name="connsiteY12" fmla="*/ 804864 h 1788319"/>
              <a:gd name="connsiteX13" fmla="*/ 2518756 w 4100686"/>
              <a:gd name="connsiteY13" fmla="*/ 812008 h 1788319"/>
              <a:gd name="connsiteX14" fmla="*/ 2606509 w 4100686"/>
              <a:gd name="connsiteY14" fmla="*/ 847726 h 1788319"/>
              <a:gd name="connsiteX15" fmla="*/ 2886370 w 4100686"/>
              <a:gd name="connsiteY15" fmla="*/ 881064 h 1788319"/>
              <a:gd name="connsiteX16" fmla="*/ 3114054 w 4100686"/>
              <a:gd name="connsiteY16" fmla="*/ 919164 h 1788319"/>
              <a:gd name="connsiteX17" fmla="*/ 4100686 w 4100686"/>
              <a:gd name="connsiteY17" fmla="*/ 1138237 h 1788319"/>
              <a:gd name="connsiteX18" fmla="*/ 4095846 w 4100686"/>
              <a:gd name="connsiteY18" fmla="*/ 1788319 h 1788319"/>
              <a:gd name="connsiteX19" fmla="*/ 1685945 w 4100686"/>
              <a:gd name="connsiteY19" fmla="*/ 1395413 h 1788319"/>
              <a:gd name="connsiteX20" fmla="*/ 1543022 w 4100686"/>
              <a:gd name="connsiteY20" fmla="*/ 1445419 h 1788319"/>
              <a:gd name="connsiteX21" fmla="*/ 1388337 w 4100686"/>
              <a:gd name="connsiteY21" fmla="*/ 1419225 h 1788319"/>
              <a:gd name="connsiteX22" fmla="*/ 1376382 w 4100686"/>
              <a:gd name="connsiteY22" fmla="*/ 1452563 h 1788319"/>
              <a:gd name="connsiteX23" fmla="*/ 1202627 w 4100686"/>
              <a:gd name="connsiteY23" fmla="*/ 1395413 h 1788319"/>
              <a:gd name="connsiteX24" fmla="*/ 1067270 w 4100686"/>
              <a:gd name="connsiteY24" fmla="*/ 1300164 h 1788319"/>
              <a:gd name="connsiteX25" fmla="*/ 857346 w 4100686"/>
              <a:gd name="connsiteY25" fmla="*/ 1204913 h 1788319"/>
              <a:gd name="connsiteX26" fmla="*/ 535877 w 4100686"/>
              <a:gd name="connsiteY26" fmla="*/ 1204913 h 1788319"/>
              <a:gd name="connsiteX27" fmla="*/ 309658 w 4100686"/>
              <a:gd name="connsiteY27" fmla="*/ 1145381 h 1788319"/>
              <a:gd name="connsiteX28" fmla="*/ 139932 w 4100686"/>
              <a:gd name="connsiteY28" fmla="*/ 1138239 h 1788319"/>
              <a:gd name="connsiteX29" fmla="*/ 0 w 4100686"/>
              <a:gd name="connsiteY29" fmla="*/ 1159669 h 1788319"/>
              <a:gd name="connsiteX30" fmla="*/ 27186 w 4100686"/>
              <a:gd name="connsiteY30" fmla="*/ 4762 h 1788319"/>
              <a:gd name="connsiteX0" fmla="*/ 27186 w 4100686"/>
              <a:gd name="connsiteY0" fmla="*/ 4762 h 1788319"/>
              <a:gd name="connsiteX1" fmla="*/ 3779264 w 4100686"/>
              <a:gd name="connsiteY1" fmla="*/ 0 h 1788319"/>
              <a:gd name="connsiteX2" fmla="*/ 2683842 w 4100686"/>
              <a:gd name="connsiteY2" fmla="*/ 728663 h 1788319"/>
              <a:gd name="connsiteX3" fmla="*/ 1812266 w 4100686"/>
              <a:gd name="connsiteY3" fmla="*/ 590549 h 1788319"/>
              <a:gd name="connsiteX4" fmla="*/ 1714596 w 4100686"/>
              <a:gd name="connsiteY4" fmla="*/ 478631 h 1788319"/>
              <a:gd name="connsiteX5" fmla="*/ 1583627 w 4100686"/>
              <a:gd name="connsiteY5" fmla="*/ 478631 h 1788319"/>
              <a:gd name="connsiteX6" fmla="*/ 1580492 w 4100686"/>
              <a:gd name="connsiteY6" fmla="*/ 531018 h 1788319"/>
              <a:gd name="connsiteX7" fmla="*/ 1624424 w 4100686"/>
              <a:gd name="connsiteY7" fmla="*/ 607219 h 1788319"/>
              <a:gd name="connsiteX8" fmla="*/ 1774127 w 4100686"/>
              <a:gd name="connsiteY8" fmla="*/ 657225 h 1788319"/>
              <a:gd name="connsiteX9" fmla="*/ 1921084 w 4100686"/>
              <a:gd name="connsiteY9" fmla="*/ 714377 h 1788319"/>
              <a:gd name="connsiteX10" fmla="*/ 2113194 w 4100686"/>
              <a:gd name="connsiteY10" fmla="*/ 757239 h 1788319"/>
              <a:gd name="connsiteX11" fmla="*/ 2298186 w 4100686"/>
              <a:gd name="connsiteY11" fmla="*/ 781052 h 1788319"/>
              <a:gd name="connsiteX12" fmla="*/ 2419144 w 4100686"/>
              <a:gd name="connsiteY12" fmla="*/ 804864 h 1788319"/>
              <a:gd name="connsiteX13" fmla="*/ 2518756 w 4100686"/>
              <a:gd name="connsiteY13" fmla="*/ 812008 h 1788319"/>
              <a:gd name="connsiteX14" fmla="*/ 2606509 w 4100686"/>
              <a:gd name="connsiteY14" fmla="*/ 847726 h 1788319"/>
              <a:gd name="connsiteX15" fmla="*/ 2886370 w 4100686"/>
              <a:gd name="connsiteY15" fmla="*/ 881064 h 1788319"/>
              <a:gd name="connsiteX16" fmla="*/ 3114054 w 4100686"/>
              <a:gd name="connsiteY16" fmla="*/ 919164 h 1788319"/>
              <a:gd name="connsiteX17" fmla="*/ 3875374 w 4100686"/>
              <a:gd name="connsiteY17" fmla="*/ 1083470 h 1788319"/>
              <a:gd name="connsiteX18" fmla="*/ 4100686 w 4100686"/>
              <a:gd name="connsiteY18" fmla="*/ 1138237 h 1788319"/>
              <a:gd name="connsiteX19" fmla="*/ 4095846 w 4100686"/>
              <a:gd name="connsiteY19" fmla="*/ 1788319 h 1788319"/>
              <a:gd name="connsiteX20" fmla="*/ 1685945 w 4100686"/>
              <a:gd name="connsiteY20" fmla="*/ 1395413 h 1788319"/>
              <a:gd name="connsiteX21" fmla="*/ 1543022 w 4100686"/>
              <a:gd name="connsiteY21" fmla="*/ 1445419 h 1788319"/>
              <a:gd name="connsiteX22" fmla="*/ 1388337 w 4100686"/>
              <a:gd name="connsiteY22" fmla="*/ 1419225 h 1788319"/>
              <a:gd name="connsiteX23" fmla="*/ 1376382 w 4100686"/>
              <a:gd name="connsiteY23" fmla="*/ 1452563 h 1788319"/>
              <a:gd name="connsiteX24" fmla="*/ 1202627 w 4100686"/>
              <a:gd name="connsiteY24" fmla="*/ 1395413 h 1788319"/>
              <a:gd name="connsiteX25" fmla="*/ 1067270 w 4100686"/>
              <a:gd name="connsiteY25" fmla="*/ 1300164 h 1788319"/>
              <a:gd name="connsiteX26" fmla="*/ 857346 w 4100686"/>
              <a:gd name="connsiteY26" fmla="*/ 1204913 h 1788319"/>
              <a:gd name="connsiteX27" fmla="*/ 535877 w 4100686"/>
              <a:gd name="connsiteY27" fmla="*/ 1204913 h 1788319"/>
              <a:gd name="connsiteX28" fmla="*/ 309658 w 4100686"/>
              <a:gd name="connsiteY28" fmla="*/ 1145381 h 1788319"/>
              <a:gd name="connsiteX29" fmla="*/ 139932 w 4100686"/>
              <a:gd name="connsiteY29" fmla="*/ 1138239 h 1788319"/>
              <a:gd name="connsiteX30" fmla="*/ 0 w 4100686"/>
              <a:gd name="connsiteY30" fmla="*/ 1159669 h 1788319"/>
              <a:gd name="connsiteX31" fmla="*/ 27186 w 4100686"/>
              <a:gd name="connsiteY31" fmla="*/ 4762 h 1788319"/>
              <a:gd name="connsiteX0" fmla="*/ 27186 w 4100686"/>
              <a:gd name="connsiteY0" fmla="*/ 4762 h 1788319"/>
              <a:gd name="connsiteX1" fmla="*/ 3779264 w 4100686"/>
              <a:gd name="connsiteY1" fmla="*/ 0 h 1788319"/>
              <a:gd name="connsiteX2" fmla="*/ 2683842 w 4100686"/>
              <a:gd name="connsiteY2" fmla="*/ 728663 h 1788319"/>
              <a:gd name="connsiteX3" fmla="*/ 1812266 w 4100686"/>
              <a:gd name="connsiteY3" fmla="*/ 590549 h 1788319"/>
              <a:gd name="connsiteX4" fmla="*/ 1714596 w 4100686"/>
              <a:gd name="connsiteY4" fmla="*/ 478631 h 1788319"/>
              <a:gd name="connsiteX5" fmla="*/ 1583627 w 4100686"/>
              <a:gd name="connsiteY5" fmla="*/ 478631 h 1788319"/>
              <a:gd name="connsiteX6" fmla="*/ 1580492 w 4100686"/>
              <a:gd name="connsiteY6" fmla="*/ 531018 h 1788319"/>
              <a:gd name="connsiteX7" fmla="*/ 1624424 w 4100686"/>
              <a:gd name="connsiteY7" fmla="*/ 607219 h 1788319"/>
              <a:gd name="connsiteX8" fmla="*/ 1774127 w 4100686"/>
              <a:gd name="connsiteY8" fmla="*/ 657225 h 1788319"/>
              <a:gd name="connsiteX9" fmla="*/ 1921084 w 4100686"/>
              <a:gd name="connsiteY9" fmla="*/ 714377 h 1788319"/>
              <a:gd name="connsiteX10" fmla="*/ 2113194 w 4100686"/>
              <a:gd name="connsiteY10" fmla="*/ 757239 h 1788319"/>
              <a:gd name="connsiteX11" fmla="*/ 2298186 w 4100686"/>
              <a:gd name="connsiteY11" fmla="*/ 781052 h 1788319"/>
              <a:gd name="connsiteX12" fmla="*/ 2419144 w 4100686"/>
              <a:gd name="connsiteY12" fmla="*/ 804864 h 1788319"/>
              <a:gd name="connsiteX13" fmla="*/ 2518756 w 4100686"/>
              <a:gd name="connsiteY13" fmla="*/ 812008 h 1788319"/>
              <a:gd name="connsiteX14" fmla="*/ 2606509 w 4100686"/>
              <a:gd name="connsiteY14" fmla="*/ 847726 h 1788319"/>
              <a:gd name="connsiteX15" fmla="*/ 2886370 w 4100686"/>
              <a:gd name="connsiteY15" fmla="*/ 881064 h 1788319"/>
              <a:gd name="connsiteX16" fmla="*/ 3114054 w 4100686"/>
              <a:gd name="connsiteY16" fmla="*/ 919164 h 1788319"/>
              <a:gd name="connsiteX17" fmla="*/ 3877747 w 4100686"/>
              <a:gd name="connsiteY17" fmla="*/ 1076326 h 1788319"/>
              <a:gd name="connsiteX18" fmla="*/ 4100686 w 4100686"/>
              <a:gd name="connsiteY18" fmla="*/ 1138237 h 1788319"/>
              <a:gd name="connsiteX19" fmla="*/ 4095846 w 4100686"/>
              <a:gd name="connsiteY19" fmla="*/ 1788319 h 1788319"/>
              <a:gd name="connsiteX20" fmla="*/ 1685945 w 4100686"/>
              <a:gd name="connsiteY20" fmla="*/ 1395413 h 1788319"/>
              <a:gd name="connsiteX21" fmla="*/ 1543022 w 4100686"/>
              <a:gd name="connsiteY21" fmla="*/ 1445419 h 1788319"/>
              <a:gd name="connsiteX22" fmla="*/ 1388337 w 4100686"/>
              <a:gd name="connsiteY22" fmla="*/ 1419225 h 1788319"/>
              <a:gd name="connsiteX23" fmla="*/ 1376382 w 4100686"/>
              <a:gd name="connsiteY23" fmla="*/ 1452563 h 1788319"/>
              <a:gd name="connsiteX24" fmla="*/ 1202627 w 4100686"/>
              <a:gd name="connsiteY24" fmla="*/ 1395413 h 1788319"/>
              <a:gd name="connsiteX25" fmla="*/ 1067270 w 4100686"/>
              <a:gd name="connsiteY25" fmla="*/ 1300164 h 1788319"/>
              <a:gd name="connsiteX26" fmla="*/ 857346 w 4100686"/>
              <a:gd name="connsiteY26" fmla="*/ 1204913 h 1788319"/>
              <a:gd name="connsiteX27" fmla="*/ 535877 w 4100686"/>
              <a:gd name="connsiteY27" fmla="*/ 1204913 h 1788319"/>
              <a:gd name="connsiteX28" fmla="*/ 309658 w 4100686"/>
              <a:gd name="connsiteY28" fmla="*/ 1145381 h 1788319"/>
              <a:gd name="connsiteX29" fmla="*/ 139932 w 4100686"/>
              <a:gd name="connsiteY29" fmla="*/ 1138239 h 1788319"/>
              <a:gd name="connsiteX30" fmla="*/ 0 w 4100686"/>
              <a:gd name="connsiteY30" fmla="*/ 1159669 h 1788319"/>
              <a:gd name="connsiteX31" fmla="*/ 27186 w 4100686"/>
              <a:gd name="connsiteY31" fmla="*/ 4762 h 17883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4100686" h="1788319">
                <a:moveTo>
                  <a:pt x="27186" y="4762"/>
                </a:moveTo>
                <a:lnTo>
                  <a:pt x="3779264" y="0"/>
                </a:lnTo>
                <a:lnTo>
                  <a:pt x="2683842" y="728663"/>
                </a:lnTo>
                <a:lnTo>
                  <a:pt x="1812266" y="590549"/>
                </a:lnTo>
                <a:lnTo>
                  <a:pt x="1714596" y="478631"/>
                </a:lnTo>
                <a:lnTo>
                  <a:pt x="1583627" y="478631"/>
                </a:lnTo>
                <a:lnTo>
                  <a:pt x="1580492" y="531018"/>
                </a:lnTo>
                <a:lnTo>
                  <a:pt x="1624424" y="607219"/>
                </a:lnTo>
                <a:lnTo>
                  <a:pt x="1774127" y="657225"/>
                </a:lnTo>
                <a:lnTo>
                  <a:pt x="1921084" y="714377"/>
                </a:lnTo>
                <a:lnTo>
                  <a:pt x="2113194" y="757239"/>
                </a:lnTo>
                <a:lnTo>
                  <a:pt x="2298186" y="781052"/>
                </a:lnTo>
                <a:lnTo>
                  <a:pt x="2419144" y="804864"/>
                </a:lnTo>
                <a:lnTo>
                  <a:pt x="2518756" y="812008"/>
                </a:lnTo>
                <a:lnTo>
                  <a:pt x="2606509" y="847726"/>
                </a:lnTo>
                <a:cubicBezTo>
                  <a:pt x="2667778" y="859235"/>
                  <a:pt x="2636945" y="854871"/>
                  <a:pt x="2886370" y="881064"/>
                </a:cubicBezTo>
                <a:cubicBezTo>
                  <a:pt x="3011280" y="888208"/>
                  <a:pt x="2911273" y="898527"/>
                  <a:pt x="3114054" y="919164"/>
                </a:cubicBezTo>
                <a:lnTo>
                  <a:pt x="3877747" y="1076326"/>
                </a:lnTo>
                <a:lnTo>
                  <a:pt x="4100686" y="1138237"/>
                </a:lnTo>
                <a:cubicBezTo>
                  <a:pt x="4098282" y="1399381"/>
                  <a:pt x="4098250" y="1527175"/>
                  <a:pt x="4095846" y="1788319"/>
                </a:cubicBezTo>
                <a:lnTo>
                  <a:pt x="1685945" y="1395413"/>
                </a:lnTo>
                <a:lnTo>
                  <a:pt x="1543022" y="1445419"/>
                </a:lnTo>
                <a:lnTo>
                  <a:pt x="1388337" y="1419225"/>
                </a:lnTo>
                <a:lnTo>
                  <a:pt x="1376382" y="1452563"/>
                </a:lnTo>
                <a:lnTo>
                  <a:pt x="1202627" y="1395413"/>
                </a:lnTo>
                <a:lnTo>
                  <a:pt x="1067270" y="1300164"/>
                </a:lnTo>
                <a:lnTo>
                  <a:pt x="857346" y="1204913"/>
                </a:lnTo>
                <a:lnTo>
                  <a:pt x="535877" y="1204913"/>
                </a:lnTo>
                <a:lnTo>
                  <a:pt x="309658" y="1145381"/>
                </a:lnTo>
                <a:lnTo>
                  <a:pt x="139932" y="1138239"/>
                </a:lnTo>
                <a:lnTo>
                  <a:pt x="0" y="1159669"/>
                </a:lnTo>
                <a:lnTo>
                  <a:pt x="27186" y="4762"/>
                </a:lnTo>
                <a:close/>
              </a:path>
            </a:pathLst>
          </a:custGeom>
          <a:solidFill>
            <a:srgbClr val="0099FF">
              <a:alpha val="34902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12</xdr:col>
      <xdr:colOff>594970</xdr:colOff>
      <xdr:row>2</xdr:row>
      <xdr:rowOff>215347</xdr:rowOff>
    </xdr:from>
    <xdr:to>
      <xdr:col>19</xdr:col>
      <xdr:colOff>516669</xdr:colOff>
      <xdr:row>14</xdr:row>
      <xdr:rowOff>52868</xdr:rowOff>
    </xdr:to>
    <xdr:grpSp>
      <xdr:nvGrpSpPr>
        <xdr:cNvPr id="19" name="Group 18"/>
        <xdr:cNvGrpSpPr/>
      </xdr:nvGrpSpPr>
      <xdr:grpSpPr>
        <a:xfrm>
          <a:off x="7910170" y="1028147"/>
          <a:ext cx="4188899" cy="2339421"/>
          <a:chOff x="7910170" y="1015447"/>
          <a:chExt cx="4188899" cy="2333071"/>
        </a:xfrm>
      </xdr:grpSpPr>
      <xdr:pic>
        <xdr:nvPicPr>
          <xdr:cNvPr id="3" name="Picture 2" descr="Projecting Square Edge.jpg"/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rcRect t="13649" r="24000" b="13649"/>
          <a:stretch>
            <a:fillRect/>
          </a:stretch>
        </xdr:blipFill>
        <xdr:spPr>
          <a:xfrm>
            <a:off x="7910170" y="1015447"/>
            <a:ext cx="4186333" cy="2333071"/>
          </a:xfrm>
          <a:prstGeom prst="rect">
            <a:avLst/>
          </a:prstGeom>
        </xdr:spPr>
      </xdr:pic>
      <xdr:sp macro="" textlink="">
        <xdr:nvSpPr>
          <xdr:cNvPr id="14" name="Freeform 13"/>
          <xdr:cNvSpPr/>
        </xdr:nvSpPr>
        <xdr:spPr>
          <a:xfrm>
            <a:off x="8074819" y="1531145"/>
            <a:ext cx="4024250" cy="1745456"/>
          </a:xfrm>
          <a:custGeom>
            <a:avLst/>
            <a:gdLst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607344 w 4143375"/>
              <a:gd name="connsiteY6" fmla="*/ 476250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416844 w 4143375"/>
              <a:gd name="connsiteY6" fmla="*/ 535781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45469 w 4143375"/>
              <a:gd name="connsiteY3" fmla="*/ 619125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26532 w 4143375"/>
              <a:gd name="connsiteY2" fmla="*/ 726282 h 1785938"/>
              <a:gd name="connsiteX3" fmla="*/ 1835983 w 4143375"/>
              <a:gd name="connsiteY3" fmla="*/ 588168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0 h 1785938"/>
              <a:gd name="connsiteX1" fmla="*/ 3833813 w 4143375"/>
              <a:gd name="connsiteY1" fmla="*/ 0 h 1785938"/>
              <a:gd name="connsiteX2" fmla="*/ 2714674 w 4143375"/>
              <a:gd name="connsiteY2" fmla="*/ 721519 h 1785938"/>
              <a:gd name="connsiteX3" fmla="*/ 1835983 w 4143375"/>
              <a:gd name="connsiteY3" fmla="*/ 588168 h 1785938"/>
              <a:gd name="connsiteX4" fmla="*/ 1738313 w 4143375"/>
              <a:gd name="connsiteY4" fmla="*/ 476250 h 1785938"/>
              <a:gd name="connsiteX5" fmla="*/ 1607344 w 4143375"/>
              <a:gd name="connsiteY5" fmla="*/ 476250 h 1785938"/>
              <a:gd name="connsiteX6" fmla="*/ 1580492 w 4143375"/>
              <a:gd name="connsiteY6" fmla="*/ 526256 h 1785938"/>
              <a:gd name="connsiteX7" fmla="*/ 1726407 w 4143375"/>
              <a:gd name="connsiteY7" fmla="*/ 535782 h 1785938"/>
              <a:gd name="connsiteX8" fmla="*/ 1797844 w 4143375"/>
              <a:gd name="connsiteY8" fmla="*/ 654844 h 1785938"/>
              <a:gd name="connsiteX9" fmla="*/ 4143375 w 4143375"/>
              <a:gd name="connsiteY9" fmla="*/ 988219 h 1785938"/>
              <a:gd name="connsiteX10" fmla="*/ 4119563 w 4143375"/>
              <a:gd name="connsiteY10" fmla="*/ 1785938 h 1785938"/>
              <a:gd name="connsiteX11" fmla="*/ 1690688 w 4143375"/>
              <a:gd name="connsiteY11" fmla="*/ 1393032 h 1785938"/>
              <a:gd name="connsiteX12" fmla="*/ 1535907 w 4143375"/>
              <a:gd name="connsiteY12" fmla="*/ 1440657 h 1785938"/>
              <a:gd name="connsiteX13" fmla="*/ 1404938 w 4143375"/>
              <a:gd name="connsiteY13" fmla="*/ 1416844 h 1785938"/>
              <a:gd name="connsiteX14" fmla="*/ 1381125 w 4143375"/>
              <a:gd name="connsiteY14" fmla="*/ 1440657 h 1785938"/>
              <a:gd name="connsiteX15" fmla="*/ 1226344 w 4143375"/>
              <a:gd name="connsiteY15" fmla="*/ 1393032 h 1785938"/>
              <a:gd name="connsiteX16" fmla="*/ 881063 w 4143375"/>
              <a:gd name="connsiteY16" fmla="*/ 1202532 h 1785938"/>
              <a:gd name="connsiteX17" fmla="*/ 559594 w 4143375"/>
              <a:gd name="connsiteY17" fmla="*/ 1202532 h 1785938"/>
              <a:gd name="connsiteX18" fmla="*/ 333375 w 4143375"/>
              <a:gd name="connsiteY18" fmla="*/ 1143000 h 1785938"/>
              <a:gd name="connsiteX19" fmla="*/ 0 w 4143375"/>
              <a:gd name="connsiteY19" fmla="*/ 1166813 h 1785938"/>
              <a:gd name="connsiteX20" fmla="*/ 273844 w 4143375"/>
              <a:gd name="connsiteY20" fmla="*/ 0 h 1785938"/>
              <a:gd name="connsiteX0" fmla="*/ 273844 w 4143375"/>
              <a:gd name="connsiteY0" fmla="*/ 2381 h 1788319"/>
              <a:gd name="connsiteX1" fmla="*/ 3802981 w 4143375"/>
              <a:gd name="connsiteY1" fmla="*/ 0 h 1788319"/>
              <a:gd name="connsiteX2" fmla="*/ 2714674 w 4143375"/>
              <a:gd name="connsiteY2" fmla="*/ 723900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273844 w 4143375"/>
              <a:gd name="connsiteY20" fmla="*/ 2381 h 1788319"/>
              <a:gd name="connsiteX0" fmla="*/ 273844 w 4143375"/>
              <a:gd name="connsiteY0" fmla="*/ 2381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273844 w 4143375"/>
              <a:gd name="connsiteY20" fmla="*/ 2381 h 1788319"/>
              <a:gd name="connsiteX0" fmla="*/ 48532 w 4143375"/>
              <a:gd name="connsiteY0" fmla="*/ 16668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48532 w 4143375"/>
              <a:gd name="connsiteY20" fmla="*/ 16668 h 1788319"/>
              <a:gd name="connsiteX0" fmla="*/ 50903 w 4143375"/>
              <a:gd name="connsiteY0" fmla="*/ 4762 h 1788319"/>
              <a:gd name="connsiteX1" fmla="*/ 3802981 w 4143375"/>
              <a:gd name="connsiteY1" fmla="*/ 0 h 1788319"/>
              <a:gd name="connsiteX2" fmla="*/ 2698072 w 4143375"/>
              <a:gd name="connsiteY2" fmla="*/ 719138 h 1788319"/>
              <a:gd name="connsiteX3" fmla="*/ 1835983 w 4143375"/>
              <a:gd name="connsiteY3" fmla="*/ 590549 h 1788319"/>
              <a:gd name="connsiteX4" fmla="*/ 1738313 w 4143375"/>
              <a:gd name="connsiteY4" fmla="*/ 478631 h 1788319"/>
              <a:gd name="connsiteX5" fmla="*/ 1607344 w 4143375"/>
              <a:gd name="connsiteY5" fmla="*/ 478631 h 1788319"/>
              <a:gd name="connsiteX6" fmla="*/ 1580492 w 4143375"/>
              <a:gd name="connsiteY6" fmla="*/ 528637 h 1788319"/>
              <a:gd name="connsiteX7" fmla="*/ 1726407 w 4143375"/>
              <a:gd name="connsiteY7" fmla="*/ 538163 h 1788319"/>
              <a:gd name="connsiteX8" fmla="*/ 1797844 w 4143375"/>
              <a:gd name="connsiteY8" fmla="*/ 657225 h 1788319"/>
              <a:gd name="connsiteX9" fmla="*/ 4143375 w 4143375"/>
              <a:gd name="connsiteY9" fmla="*/ 990600 h 1788319"/>
              <a:gd name="connsiteX10" fmla="*/ 4119563 w 4143375"/>
              <a:gd name="connsiteY10" fmla="*/ 1788319 h 1788319"/>
              <a:gd name="connsiteX11" fmla="*/ 1690688 w 4143375"/>
              <a:gd name="connsiteY11" fmla="*/ 1395413 h 1788319"/>
              <a:gd name="connsiteX12" fmla="*/ 1535907 w 4143375"/>
              <a:gd name="connsiteY12" fmla="*/ 1443038 h 1788319"/>
              <a:gd name="connsiteX13" fmla="*/ 1404938 w 4143375"/>
              <a:gd name="connsiteY13" fmla="*/ 1419225 h 1788319"/>
              <a:gd name="connsiteX14" fmla="*/ 1381125 w 4143375"/>
              <a:gd name="connsiteY14" fmla="*/ 1443038 h 1788319"/>
              <a:gd name="connsiteX15" fmla="*/ 1226344 w 4143375"/>
              <a:gd name="connsiteY15" fmla="*/ 1395413 h 1788319"/>
              <a:gd name="connsiteX16" fmla="*/ 881063 w 4143375"/>
              <a:gd name="connsiteY16" fmla="*/ 1204913 h 1788319"/>
              <a:gd name="connsiteX17" fmla="*/ 559594 w 4143375"/>
              <a:gd name="connsiteY17" fmla="*/ 1204913 h 1788319"/>
              <a:gd name="connsiteX18" fmla="*/ 333375 w 4143375"/>
              <a:gd name="connsiteY18" fmla="*/ 1145381 h 1788319"/>
              <a:gd name="connsiteX19" fmla="*/ 0 w 4143375"/>
              <a:gd name="connsiteY19" fmla="*/ 1169194 h 1788319"/>
              <a:gd name="connsiteX20" fmla="*/ 50903 w 4143375"/>
              <a:gd name="connsiteY20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881063 w 4126774"/>
              <a:gd name="connsiteY16" fmla="*/ 1204913 h 1788319"/>
              <a:gd name="connsiteX17" fmla="*/ 559594 w 4126774"/>
              <a:gd name="connsiteY17" fmla="*/ 1204913 h 1788319"/>
              <a:gd name="connsiteX18" fmla="*/ 333375 w 4126774"/>
              <a:gd name="connsiteY18" fmla="*/ 1145381 h 1788319"/>
              <a:gd name="connsiteX19" fmla="*/ 0 w 4126774"/>
              <a:gd name="connsiteY19" fmla="*/ 1169194 h 1788319"/>
              <a:gd name="connsiteX20" fmla="*/ 50903 w 4126774"/>
              <a:gd name="connsiteY20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79128 w 4126774"/>
              <a:gd name="connsiteY16" fmla="*/ 1312070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0 w 4126774"/>
              <a:gd name="connsiteY20" fmla="*/ 1169194 h 1788319"/>
              <a:gd name="connsiteX21" fmla="*/ 50903 w 4126774"/>
              <a:gd name="connsiteY21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0 w 4126774"/>
              <a:gd name="connsiteY20" fmla="*/ 1169194 h 1788319"/>
              <a:gd name="connsiteX21" fmla="*/ 50903 w 4126774"/>
              <a:gd name="connsiteY21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163649 w 4126774"/>
              <a:gd name="connsiteY20" fmla="*/ 1159670 h 1788319"/>
              <a:gd name="connsiteX21" fmla="*/ 0 w 4126774"/>
              <a:gd name="connsiteY21" fmla="*/ 1169194 h 1788319"/>
              <a:gd name="connsiteX22" fmla="*/ 50903 w 4126774"/>
              <a:gd name="connsiteY22" fmla="*/ 4762 h 1788319"/>
              <a:gd name="connsiteX0" fmla="*/ 50903 w 4126774"/>
              <a:gd name="connsiteY0" fmla="*/ 4762 h 1788319"/>
              <a:gd name="connsiteX1" fmla="*/ 3802981 w 4126774"/>
              <a:gd name="connsiteY1" fmla="*/ 0 h 1788319"/>
              <a:gd name="connsiteX2" fmla="*/ 2698072 w 4126774"/>
              <a:gd name="connsiteY2" fmla="*/ 719138 h 1788319"/>
              <a:gd name="connsiteX3" fmla="*/ 1835983 w 4126774"/>
              <a:gd name="connsiteY3" fmla="*/ 590549 h 1788319"/>
              <a:gd name="connsiteX4" fmla="*/ 1738313 w 4126774"/>
              <a:gd name="connsiteY4" fmla="*/ 478631 h 1788319"/>
              <a:gd name="connsiteX5" fmla="*/ 1607344 w 4126774"/>
              <a:gd name="connsiteY5" fmla="*/ 478631 h 1788319"/>
              <a:gd name="connsiteX6" fmla="*/ 1580492 w 4126774"/>
              <a:gd name="connsiteY6" fmla="*/ 528637 h 1788319"/>
              <a:gd name="connsiteX7" fmla="*/ 1726407 w 4126774"/>
              <a:gd name="connsiteY7" fmla="*/ 538163 h 1788319"/>
              <a:gd name="connsiteX8" fmla="*/ 1797844 w 4126774"/>
              <a:gd name="connsiteY8" fmla="*/ 657225 h 1788319"/>
              <a:gd name="connsiteX9" fmla="*/ 4126774 w 4126774"/>
              <a:gd name="connsiteY9" fmla="*/ 1004887 h 1788319"/>
              <a:gd name="connsiteX10" fmla="*/ 4119563 w 4126774"/>
              <a:gd name="connsiteY10" fmla="*/ 1788319 h 1788319"/>
              <a:gd name="connsiteX11" fmla="*/ 1690688 w 4126774"/>
              <a:gd name="connsiteY11" fmla="*/ 1395413 h 1788319"/>
              <a:gd name="connsiteX12" fmla="*/ 1535907 w 4126774"/>
              <a:gd name="connsiteY12" fmla="*/ 1443038 h 1788319"/>
              <a:gd name="connsiteX13" fmla="*/ 1404938 w 4126774"/>
              <a:gd name="connsiteY13" fmla="*/ 1419225 h 1788319"/>
              <a:gd name="connsiteX14" fmla="*/ 1381125 w 4126774"/>
              <a:gd name="connsiteY14" fmla="*/ 1443038 h 1788319"/>
              <a:gd name="connsiteX15" fmla="*/ 1226344 w 4126774"/>
              <a:gd name="connsiteY15" fmla="*/ 1395413 h 1788319"/>
              <a:gd name="connsiteX16" fmla="*/ 1090987 w 4126774"/>
              <a:gd name="connsiteY16" fmla="*/ 1300164 h 1788319"/>
              <a:gd name="connsiteX17" fmla="*/ 881063 w 4126774"/>
              <a:gd name="connsiteY17" fmla="*/ 1204913 h 1788319"/>
              <a:gd name="connsiteX18" fmla="*/ 559594 w 4126774"/>
              <a:gd name="connsiteY18" fmla="*/ 1204913 h 1788319"/>
              <a:gd name="connsiteX19" fmla="*/ 333375 w 4126774"/>
              <a:gd name="connsiteY19" fmla="*/ 1145381 h 1788319"/>
              <a:gd name="connsiteX20" fmla="*/ 163649 w 4126774"/>
              <a:gd name="connsiteY20" fmla="*/ 1138239 h 1788319"/>
              <a:gd name="connsiteX21" fmla="*/ 0 w 4126774"/>
              <a:gd name="connsiteY21" fmla="*/ 1169194 h 1788319"/>
              <a:gd name="connsiteX22" fmla="*/ 50903 w 4126774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4103057 w 4103057"/>
              <a:gd name="connsiteY9" fmla="*/ 1004887 h 1788319"/>
              <a:gd name="connsiteX10" fmla="*/ 4095846 w 4103057"/>
              <a:gd name="connsiteY10" fmla="*/ 1788319 h 1788319"/>
              <a:gd name="connsiteX11" fmla="*/ 1666971 w 4103057"/>
              <a:gd name="connsiteY11" fmla="*/ 1395413 h 1788319"/>
              <a:gd name="connsiteX12" fmla="*/ 1512190 w 4103057"/>
              <a:gd name="connsiteY12" fmla="*/ 1443038 h 1788319"/>
              <a:gd name="connsiteX13" fmla="*/ 1381221 w 4103057"/>
              <a:gd name="connsiteY13" fmla="*/ 1419225 h 1788319"/>
              <a:gd name="connsiteX14" fmla="*/ 1357408 w 4103057"/>
              <a:gd name="connsiteY14" fmla="*/ 1443038 h 1788319"/>
              <a:gd name="connsiteX15" fmla="*/ 1202627 w 4103057"/>
              <a:gd name="connsiteY15" fmla="*/ 1395413 h 1788319"/>
              <a:gd name="connsiteX16" fmla="*/ 1067270 w 4103057"/>
              <a:gd name="connsiteY16" fmla="*/ 1300164 h 1788319"/>
              <a:gd name="connsiteX17" fmla="*/ 857346 w 4103057"/>
              <a:gd name="connsiteY17" fmla="*/ 1204913 h 1788319"/>
              <a:gd name="connsiteX18" fmla="*/ 535877 w 4103057"/>
              <a:gd name="connsiteY18" fmla="*/ 1204913 h 1788319"/>
              <a:gd name="connsiteX19" fmla="*/ 309658 w 4103057"/>
              <a:gd name="connsiteY19" fmla="*/ 1145381 h 1788319"/>
              <a:gd name="connsiteX20" fmla="*/ 139932 w 4103057"/>
              <a:gd name="connsiteY20" fmla="*/ 1138239 h 1788319"/>
              <a:gd name="connsiteX21" fmla="*/ 0 w 4103057"/>
              <a:gd name="connsiteY21" fmla="*/ 1159669 h 1788319"/>
              <a:gd name="connsiteX22" fmla="*/ 27186 w 4103057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3901 w 4103057"/>
              <a:gd name="connsiteY9" fmla="*/ 69770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7435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702815 w 4103057"/>
              <a:gd name="connsiteY2" fmla="*/ 719138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57408 w 4103057"/>
              <a:gd name="connsiteY15" fmla="*/ 1443038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1221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12190 w 4103057"/>
              <a:gd name="connsiteY13" fmla="*/ 1443038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66971 w 4103057"/>
              <a:gd name="connsiteY12" fmla="*/ 1395413 h 1788319"/>
              <a:gd name="connsiteX13" fmla="*/ 1543022 w 4103057"/>
              <a:gd name="connsiteY13" fmla="*/ 1445419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85945 w 4103057"/>
              <a:gd name="connsiteY12" fmla="*/ 1395413 h 1788319"/>
              <a:gd name="connsiteX13" fmla="*/ 1543022 w 4103057"/>
              <a:gd name="connsiteY13" fmla="*/ 1445419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61989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56775 w 4103057"/>
              <a:gd name="connsiteY6" fmla="*/ 528637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71005 w 4103057"/>
              <a:gd name="connsiteY6" fmla="*/ 531018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3627 w 4103057"/>
              <a:gd name="connsiteY5" fmla="*/ 478631 h 1788319"/>
              <a:gd name="connsiteX6" fmla="*/ 1580492 w 4103057"/>
              <a:gd name="connsiteY6" fmla="*/ 531018 h 1788319"/>
              <a:gd name="connsiteX7" fmla="*/ 1702690 w 4103057"/>
              <a:gd name="connsiteY7" fmla="*/ 538163 h 1788319"/>
              <a:gd name="connsiteX8" fmla="*/ 1774127 w 4103057"/>
              <a:gd name="connsiteY8" fmla="*/ 657225 h 1788319"/>
              <a:gd name="connsiteX9" fmla="*/ 1857049 w 4103057"/>
              <a:gd name="connsiteY9" fmla="*/ 647702 h 1788319"/>
              <a:gd name="connsiteX10" fmla="*/ 2051529 w 4103057"/>
              <a:gd name="connsiteY10" fmla="*/ 678658 h 1788319"/>
              <a:gd name="connsiteX11" fmla="*/ 4103057 w 4103057"/>
              <a:gd name="connsiteY11" fmla="*/ 1004887 h 1788319"/>
              <a:gd name="connsiteX12" fmla="*/ 4095846 w 4103057"/>
              <a:gd name="connsiteY12" fmla="*/ 1788319 h 1788319"/>
              <a:gd name="connsiteX13" fmla="*/ 1685945 w 4103057"/>
              <a:gd name="connsiteY13" fmla="*/ 1395413 h 1788319"/>
              <a:gd name="connsiteX14" fmla="*/ 1543022 w 4103057"/>
              <a:gd name="connsiteY14" fmla="*/ 1445419 h 1788319"/>
              <a:gd name="connsiteX15" fmla="*/ 1388337 w 4103057"/>
              <a:gd name="connsiteY15" fmla="*/ 1419225 h 1788319"/>
              <a:gd name="connsiteX16" fmla="*/ 1376382 w 4103057"/>
              <a:gd name="connsiteY16" fmla="*/ 1452563 h 1788319"/>
              <a:gd name="connsiteX17" fmla="*/ 1202627 w 4103057"/>
              <a:gd name="connsiteY17" fmla="*/ 1395413 h 1788319"/>
              <a:gd name="connsiteX18" fmla="*/ 1067270 w 4103057"/>
              <a:gd name="connsiteY18" fmla="*/ 1300164 h 1788319"/>
              <a:gd name="connsiteX19" fmla="*/ 857346 w 4103057"/>
              <a:gd name="connsiteY19" fmla="*/ 1204913 h 1788319"/>
              <a:gd name="connsiteX20" fmla="*/ 535877 w 4103057"/>
              <a:gd name="connsiteY20" fmla="*/ 1204913 h 1788319"/>
              <a:gd name="connsiteX21" fmla="*/ 309658 w 4103057"/>
              <a:gd name="connsiteY21" fmla="*/ 1145381 h 1788319"/>
              <a:gd name="connsiteX22" fmla="*/ 139932 w 4103057"/>
              <a:gd name="connsiteY22" fmla="*/ 1138239 h 1788319"/>
              <a:gd name="connsiteX23" fmla="*/ 0 w 4103057"/>
              <a:gd name="connsiteY23" fmla="*/ 1159669 h 1788319"/>
              <a:gd name="connsiteX24" fmla="*/ 27186 w 4103057"/>
              <a:gd name="connsiteY24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580492 w 4103057"/>
              <a:gd name="connsiteY5" fmla="*/ 531018 h 1788319"/>
              <a:gd name="connsiteX6" fmla="*/ 1702690 w 4103057"/>
              <a:gd name="connsiteY6" fmla="*/ 538163 h 1788319"/>
              <a:gd name="connsiteX7" fmla="*/ 1774127 w 4103057"/>
              <a:gd name="connsiteY7" fmla="*/ 657225 h 1788319"/>
              <a:gd name="connsiteX8" fmla="*/ 1857049 w 4103057"/>
              <a:gd name="connsiteY8" fmla="*/ 647702 h 1788319"/>
              <a:gd name="connsiteX9" fmla="*/ 2051529 w 4103057"/>
              <a:gd name="connsiteY9" fmla="*/ 678658 h 1788319"/>
              <a:gd name="connsiteX10" fmla="*/ 4103057 w 4103057"/>
              <a:gd name="connsiteY10" fmla="*/ 1004887 h 1788319"/>
              <a:gd name="connsiteX11" fmla="*/ 4095846 w 4103057"/>
              <a:gd name="connsiteY11" fmla="*/ 1788319 h 1788319"/>
              <a:gd name="connsiteX12" fmla="*/ 1685945 w 4103057"/>
              <a:gd name="connsiteY12" fmla="*/ 1395413 h 1788319"/>
              <a:gd name="connsiteX13" fmla="*/ 1543022 w 4103057"/>
              <a:gd name="connsiteY13" fmla="*/ 1445419 h 1788319"/>
              <a:gd name="connsiteX14" fmla="*/ 1388337 w 4103057"/>
              <a:gd name="connsiteY14" fmla="*/ 1419225 h 1788319"/>
              <a:gd name="connsiteX15" fmla="*/ 1376382 w 4103057"/>
              <a:gd name="connsiteY15" fmla="*/ 1452563 h 1788319"/>
              <a:gd name="connsiteX16" fmla="*/ 1202627 w 4103057"/>
              <a:gd name="connsiteY16" fmla="*/ 1395413 h 1788319"/>
              <a:gd name="connsiteX17" fmla="*/ 1067270 w 4103057"/>
              <a:gd name="connsiteY17" fmla="*/ 1300164 h 1788319"/>
              <a:gd name="connsiteX18" fmla="*/ 857346 w 4103057"/>
              <a:gd name="connsiteY18" fmla="*/ 1204913 h 1788319"/>
              <a:gd name="connsiteX19" fmla="*/ 535877 w 4103057"/>
              <a:gd name="connsiteY19" fmla="*/ 1204913 h 1788319"/>
              <a:gd name="connsiteX20" fmla="*/ 309658 w 4103057"/>
              <a:gd name="connsiteY20" fmla="*/ 1145381 h 1788319"/>
              <a:gd name="connsiteX21" fmla="*/ 139932 w 4103057"/>
              <a:gd name="connsiteY21" fmla="*/ 1138239 h 1788319"/>
              <a:gd name="connsiteX22" fmla="*/ 0 w 4103057"/>
              <a:gd name="connsiteY22" fmla="*/ 1159669 h 1788319"/>
              <a:gd name="connsiteX23" fmla="*/ 27186 w 4103057"/>
              <a:gd name="connsiteY23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702690 w 4103057"/>
              <a:gd name="connsiteY5" fmla="*/ 538163 h 1788319"/>
              <a:gd name="connsiteX6" fmla="*/ 1774127 w 4103057"/>
              <a:gd name="connsiteY6" fmla="*/ 657225 h 1788319"/>
              <a:gd name="connsiteX7" fmla="*/ 1857049 w 4103057"/>
              <a:gd name="connsiteY7" fmla="*/ 647702 h 1788319"/>
              <a:gd name="connsiteX8" fmla="*/ 2051529 w 4103057"/>
              <a:gd name="connsiteY8" fmla="*/ 678658 h 1788319"/>
              <a:gd name="connsiteX9" fmla="*/ 4103057 w 4103057"/>
              <a:gd name="connsiteY9" fmla="*/ 1004887 h 1788319"/>
              <a:gd name="connsiteX10" fmla="*/ 4095846 w 4103057"/>
              <a:gd name="connsiteY10" fmla="*/ 1788319 h 1788319"/>
              <a:gd name="connsiteX11" fmla="*/ 1685945 w 4103057"/>
              <a:gd name="connsiteY11" fmla="*/ 1395413 h 1788319"/>
              <a:gd name="connsiteX12" fmla="*/ 1543022 w 4103057"/>
              <a:gd name="connsiteY12" fmla="*/ 1445419 h 1788319"/>
              <a:gd name="connsiteX13" fmla="*/ 1388337 w 4103057"/>
              <a:gd name="connsiteY13" fmla="*/ 1419225 h 1788319"/>
              <a:gd name="connsiteX14" fmla="*/ 1376382 w 4103057"/>
              <a:gd name="connsiteY14" fmla="*/ 1452563 h 1788319"/>
              <a:gd name="connsiteX15" fmla="*/ 1202627 w 4103057"/>
              <a:gd name="connsiteY15" fmla="*/ 1395413 h 1788319"/>
              <a:gd name="connsiteX16" fmla="*/ 1067270 w 4103057"/>
              <a:gd name="connsiteY16" fmla="*/ 1300164 h 1788319"/>
              <a:gd name="connsiteX17" fmla="*/ 857346 w 4103057"/>
              <a:gd name="connsiteY17" fmla="*/ 1204913 h 1788319"/>
              <a:gd name="connsiteX18" fmla="*/ 535877 w 4103057"/>
              <a:gd name="connsiteY18" fmla="*/ 1204913 h 1788319"/>
              <a:gd name="connsiteX19" fmla="*/ 309658 w 4103057"/>
              <a:gd name="connsiteY19" fmla="*/ 1145381 h 1788319"/>
              <a:gd name="connsiteX20" fmla="*/ 139932 w 4103057"/>
              <a:gd name="connsiteY20" fmla="*/ 1138239 h 1788319"/>
              <a:gd name="connsiteX21" fmla="*/ 0 w 4103057"/>
              <a:gd name="connsiteY21" fmla="*/ 1159669 h 1788319"/>
              <a:gd name="connsiteX22" fmla="*/ 27186 w 4103057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14596 w 4103057"/>
              <a:gd name="connsiteY4" fmla="*/ 478631 h 1788319"/>
              <a:gd name="connsiteX5" fmla="*/ 1702690 w 4103057"/>
              <a:gd name="connsiteY5" fmla="*/ 538163 h 1788319"/>
              <a:gd name="connsiteX6" fmla="*/ 1712464 w 4103057"/>
              <a:gd name="connsiteY6" fmla="*/ 616744 h 1788319"/>
              <a:gd name="connsiteX7" fmla="*/ 1857049 w 4103057"/>
              <a:gd name="connsiteY7" fmla="*/ 647702 h 1788319"/>
              <a:gd name="connsiteX8" fmla="*/ 2051529 w 4103057"/>
              <a:gd name="connsiteY8" fmla="*/ 678658 h 1788319"/>
              <a:gd name="connsiteX9" fmla="*/ 4103057 w 4103057"/>
              <a:gd name="connsiteY9" fmla="*/ 1004887 h 1788319"/>
              <a:gd name="connsiteX10" fmla="*/ 4095846 w 4103057"/>
              <a:gd name="connsiteY10" fmla="*/ 1788319 h 1788319"/>
              <a:gd name="connsiteX11" fmla="*/ 1685945 w 4103057"/>
              <a:gd name="connsiteY11" fmla="*/ 1395413 h 1788319"/>
              <a:gd name="connsiteX12" fmla="*/ 1543022 w 4103057"/>
              <a:gd name="connsiteY12" fmla="*/ 1445419 h 1788319"/>
              <a:gd name="connsiteX13" fmla="*/ 1388337 w 4103057"/>
              <a:gd name="connsiteY13" fmla="*/ 1419225 h 1788319"/>
              <a:gd name="connsiteX14" fmla="*/ 1376382 w 4103057"/>
              <a:gd name="connsiteY14" fmla="*/ 1452563 h 1788319"/>
              <a:gd name="connsiteX15" fmla="*/ 1202627 w 4103057"/>
              <a:gd name="connsiteY15" fmla="*/ 1395413 h 1788319"/>
              <a:gd name="connsiteX16" fmla="*/ 1067270 w 4103057"/>
              <a:gd name="connsiteY16" fmla="*/ 1300164 h 1788319"/>
              <a:gd name="connsiteX17" fmla="*/ 857346 w 4103057"/>
              <a:gd name="connsiteY17" fmla="*/ 1204913 h 1788319"/>
              <a:gd name="connsiteX18" fmla="*/ 535877 w 4103057"/>
              <a:gd name="connsiteY18" fmla="*/ 1204913 h 1788319"/>
              <a:gd name="connsiteX19" fmla="*/ 309658 w 4103057"/>
              <a:gd name="connsiteY19" fmla="*/ 1145381 h 1788319"/>
              <a:gd name="connsiteX20" fmla="*/ 139932 w 4103057"/>
              <a:gd name="connsiteY20" fmla="*/ 1138239 h 1788319"/>
              <a:gd name="connsiteX21" fmla="*/ 0 w 4103057"/>
              <a:gd name="connsiteY21" fmla="*/ 1159669 h 1788319"/>
              <a:gd name="connsiteX22" fmla="*/ 27186 w 4103057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26454 w 4103057"/>
              <a:gd name="connsiteY4" fmla="*/ 557212 h 1788319"/>
              <a:gd name="connsiteX5" fmla="*/ 1702690 w 4103057"/>
              <a:gd name="connsiteY5" fmla="*/ 538163 h 1788319"/>
              <a:gd name="connsiteX6" fmla="*/ 1712464 w 4103057"/>
              <a:gd name="connsiteY6" fmla="*/ 616744 h 1788319"/>
              <a:gd name="connsiteX7" fmla="*/ 1857049 w 4103057"/>
              <a:gd name="connsiteY7" fmla="*/ 647702 h 1788319"/>
              <a:gd name="connsiteX8" fmla="*/ 2051529 w 4103057"/>
              <a:gd name="connsiteY8" fmla="*/ 678658 h 1788319"/>
              <a:gd name="connsiteX9" fmla="*/ 4103057 w 4103057"/>
              <a:gd name="connsiteY9" fmla="*/ 1004887 h 1788319"/>
              <a:gd name="connsiteX10" fmla="*/ 4095846 w 4103057"/>
              <a:gd name="connsiteY10" fmla="*/ 1788319 h 1788319"/>
              <a:gd name="connsiteX11" fmla="*/ 1685945 w 4103057"/>
              <a:gd name="connsiteY11" fmla="*/ 1395413 h 1788319"/>
              <a:gd name="connsiteX12" fmla="*/ 1543022 w 4103057"/>
              <a:gd name="connsiteY12" fmla="*/ 1445419 h 1788319"/>
              <a:gd name="connsiteX13" fmla="*/ 1388337 w 4103057"/>
              <a:gd name="connsiteY13" fmla="*/ 1419225 h 1788319"/>
              <a:gd name="connsiteX14" fmla="*/ 1376382 w 4103057"/>
              <a:gd name="connsiteY14" fmla="*/ 1452563 h 1788319"/>
              <a:gd name="connsiteX15" fmla="*/ 1202627 w 4103057"/>
              <a:gd name="connsiteY15" fmla="*/ 1395413 h 1788319"/>
              <a:gd name="connsiteX16" fmla="*/ 1067270 w 4103057"/>
              <a:gd name="connsiteY16" fmla="*/ 1300164 h 1788319"/>
              <a:gd name="connsiteX17" fmla="*/ 857346 w 4103057"/>
              <a:gd name="connsiteY17" fmla="*/ 1204913 h 1788319"/>
              <a:gd name="connsiteX18" fmla="*/ 535877 w 4103057"/>
              <a:gd name="connsiteY18" fmla="*/ 1204913 h 1788319"/>
              <a:gd name="connsiteX19" fmla="*/ 309658 w 4103057"/>
              <a:gd name="connsiteY19" fmla="*/ 1145381 h 1788319"/>
              <a:gd name="connsiteX20" fmla="*/ 139932 w 4103057"/>
              <a:gd name="connsiteY20" fmla="*/ 1138239 h 1788319"/>
              <a:gd name="connsiteX21" fmla="*/ 0 w 4103057"/>
              <a:gd name="connsiteY21" fmla="*/ 1159669 h 1788319"/>
              <a:gd name="connsiteX22" fmla="*/ 27186 w 4103057"/>
              <a:gd name="connsiteY22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26454 w 4103057"/>
              <a:gd name="connsiteY4" fmla="*/ 557212 h 1788319"/>
              <a:gd name="connsiteX5" fmla="*/ 1712464 w 4103057"/>
              <a:gd name="connsiteY5" fmla="*/ 616744 h 1788319"/>
              <a:gd name="connsiteX6" fmla="*/ 1857049 w 4103057"/>
              <a:gd name="connsiteY6" fmla="*/ 647702 h 1788319"/>
              <a:gd name="connsiteX7" fmla="*/ 2051529 w 4103057"/>
              <a:gd name="connsiteY7" fmla="*/ 678658 h 1788319"/>
              <a:gd name="connsiteX8" fmla="*/ 4103057 w 4103057"/>
              <a:gd name="connsiteY8" fmla="*/ 1004887 h 1788319"/>
              <a:gd name="connsiteX9" fmla="*/ 4095846 w 4103057"/>
              <a:gd name="connsiteY9" fmla="*/ 1788319 h 1788319"/>
              <a:gd name="connsiteX10" fmla="*/ 1685945 w 4103057"/>
              <a:gd name="connsiteY10" fmla="*/ 1395413 h 1788319"/>
              <a:gd name="connsiteX11" fmla="*/ 1543022 w 4103057"/>
              <a:gd name="connsiteY11" fmla="*/ 1445419 h 1788319"/>
              <a:gd name="connsiteX12" fmla="*/ 1388337 w 4103057"/>
              <a:gd name="connsiteY12" fmla="*/ 1419225 h 1788319"/>
              <a:gd name="connsiteX13" fmla="*/ 1376382 w 4103057"/>
              <a:gd name="connsiteY13" fmla="*/ 1452563 h 1788319"/>
              <a:gd name="connsiteX14" fmla="*/ 1202627 w 4103057"/>
              <a:gd name="connsiteY14" fmla="*/ 1395413 h 1788319"/>
              <a:gd name="connsiteX15" fmla="*/ 1067270 w 4103057"/>
              <a:gd name="connsiteY15" fmla="*/ 1300164 h 1788319"/>
              <a:gd name="connsiteX16" fmla="*/ 857346 w 4103057"/>
              <a:gd name="connsiteY16" fmla="*/ 1204913 h 1788319"/>
              <a:gd name="connsiteX17" fmla="*/ 535877 w 4103057"/>
              <a:gd name="connsiteY17" fmla="*/ 1204913 h 1788319"/>
              <a:gd name="connsiteX18" fmla="*/ 309658 w 4103057"/>
              <a:gd name="connsiteY18" fmla="*/ 1145381 h 1788319"/>
              <a:gd name="connsiteX19" fmla="*/ 139932 w 4103057"/>
              <a:gd name="connsiteY19" fmla="*/ 1138239 h 1788319"/>
              <a:gd name="connsiteX20" fmla="*/ 0 w 4103057"/>
              <a:gd name="connsiteY20" fmla="*/ 1159669 h 1788319"/>
              <a:gd name="connsiteX21" fmla="*/ 27186 w 4103057"/>
              <a:gd name="connsiteY21" fmla="*/ 4762 h 1788319"/>
              <a:gd name="connsiteX0" fmla="*/ 27186 w 4103057"/>
              <a:gd name="connsiteY0" fmla="*/ 4762 h 1788319"/>
              <a:gd name="connsiteX1" fmla="*/ 3779264 w 4103057"/>
              <a:gd name="connsiteY1" fmla="*/ 0 h 1788319"/>
              <a:gd name="connsiteX2" fmla="*/ 2683842 w 4103057"/>
              <a:gd name="connsiteY2" fmla="*/ 728663 h 1788319"/>
              <a:gd name="connsiteX3" fmla="*/ 1812266 w 4103057"/>
              <a:gd name="connsiteY3" fmla="*/ 590549 h 1788319"/>
              <a:gd name="connsiteX4" fmla="*/ 1726454 w 4103057"/>
              <a:gd name="connsiteY4" fmla="*/ 557212 h 1788319"/>
              <a:gd name="connsiteX5" fmla="*/ 1712464 w 4103057"/>
              <a:gd name="connsiteY5" fmla="*/ 616744 h 1788319"/>
              <a:gd name="connsiteX6" fmla="*/ 1857049 w 4103057"/>
              <a:gd name="connsiteY6" fmla="*/ 647702 h 1788319"/>
              <a:gd name="connsiteX7" fmla="*/ 2051529 w 4103057"/>
              <a:gd name="connsiteY7" fmla="*/ 671514 h 1788319"/>
              <a:gd name="connsiteX8" fmla="*/ 4103057 w 4103057"/>
              <a:gd name="connsiteY8" fmla="*/ 1004887 h 1788319"/>
              <a:gd name="connsiteX9" fmla="*/ 4095846 w 4103057"/>
              <a:gd name="connsiteY9" fmla="*/ 1788319 h 1788319"/>
              <a:gd name="connsiteX10" fmla="*/ 1685945 w 4103057"/>
              <a:gd name="connsiteY10" fmla="*/ 1395413 h 1788319"/>
              <a:gd name="connsiteX11" fmla="*/ 1543022 w 4103057"/>
              <a:gd name="connsiteY11" fmla="*/ 1445419 h 1788319"/>
              <a:gd name="connsiteX12" fmla="*/ 1388337 w 4103057"/>
              <a:gd name="connsiteY12" fmla="*/ 1419225 h 1788319"/>
              <a:gd name="connsiteX13" fmla="*/ 1376382 w 4103057"/>
              <a:gd name="connsiteY13" fmla="*/ 1452563 h 1788319"/>
              <a:gd name="connsiteX14" fmla="*/ 1202627 w 4103057"/>
              <a:gd name="connsiteY14" fmla="*/ 1395413 h 1788319"/>
              <a:gd name="connsiteX15" fmla="*/ 1067270 w 4103057"/>
              <a:gd name="connsiteY15" fmla="*/ 1300164 h 1788319"/>
              <a:gd name="connsiteX16" fmla="*/ 857346 w 4103057"/>
              <a:gd name="connsiteY16" fmla="*/ 1204913 h 1788319"/>
              <a:gd name="connsiteX17" fmla="*/ 535877 w 4103057"/>
              <a:gd name="connsiteY17" fmla="*/ 1204913 h 1788319"/>
              <a:gd name="connsiteX18" fmla="*/ 309658 w 4103057"/>
              <a:gd name="connsiteY18" fmla="*/ 1145381 h 1788319"/>
              <a:gd name="connsiteX19" fmla="*/ 139932 w 4103057"/>
              <a:gd name="connsiteY19" fmla="*/ 1138239 h 1788319"/>
              <a:gd name="connsiteX20" fmla="*/ 0 w 4103057"/>
              <a:gd name="connsiteY20" fmla="*/ 1159669 h 1788319"/>
              <a:gd name="connsiteX21" fmla="*/ 27186 w 4103057"/>
              <a:gd name="connsiteY21" fmla="*/ 4762 h 1788319"/>
              <a:gd name="connsiteX0" fmla="*/ 27186 w 4103057"/>
              <a:gd name="connsiteY0" fmla="*/ 0 h 1783557"/>
              <a:gd name="connsiteX1" fmla="*/ 3693882 w 4103057"/>
              <a:gd name="connsiteY1" fmla="*/ 40482 h 1783557"/>
              <a:gd name="connsiteX2" fmla="*/ 2683842 w 4103057"/>
              <a:gd name="connsiteY2" fmla="*/ 723901 h 1783557"/>
              <a:gd name="connsiteX3" fmla="*/ 1812266 w 4103057"/>
              <a:gd name="connsiteY3" fmla="*/ 585787 h 1783557"/>
              <a:gd name="connsiteX4" fmla="*/ 1726454 w 4103057"/>
              <a:gd name="connsiteY4" fmla="*/ 552450 h 1783557"/>
              <a:gd name="connsiteX5" fmla="*/ 1712464 w 4103057"/>
              <a:gd name="connsiteY5" fmla="*/ 611982 h 1783557"/>
              <a:gd name="connsiteX6" fmla="*/ 1857049 w 4103057"/>
              <a:gd name="connsiteY6" fmla="*/ 642940 h 1783557"/>
              <a:gd name="connsiteX7" fmla="*/ 2051529 w 4103057"/>
              <a:gd name="connsiteY7" fmla="*/ 666752 h 1783557"/>
              <a:gd name="connsiteX8" fmla="*/ 4103057 w 4103057"/>
              <a:gd name="connsiteY8" fmla="*/ 1000125 h 1783557"/>
              <a:gd name="connsiteX9" fmla="*/ 4095846 w 4103057"/>
              <a:gd name="connsiteY9" fmla="*/ 1783557 h 1783557"/>
              <a:gd name="connsiteX10" fmla="*/ 1685945 w 4103057"/>
              <a:gd name="connsiteY10" fmla="*/ 1390651 h 1783557"/>
              <a:gd name="connsiteX11" fmla="*/ 1543022 w 4103057"/>
              <a:gd name="connsiteY11" fmla="*/ 1440657 h 1783557"/>
              <a:gd name="connsiteX12" fmla="*/ 1388337 w 4103057"/>
              <a:gd name="connsiteY12" fmla="*/ 1414463 h 1783557"/>
              <a:gd name="connsiteX13" fmla="*/ 1376382 w 4103057"/>
              <a:gd name="connsiteY13" fmla="*/ 1447801 h 1783557"/>
              <a:gd name="connsiteX14" fmla="*/ 1202627 w 4103057"/>
              <a:gd name="connsiteY14" fmla="*/ 1390651 h 1783557"/>
              <a:gd name="connsiteX15" fmla="*/ 1067270 w 4103057"/>
              <a:gd name="connsiteY15" fmla="*/ 1295402 h 1783557"/>
              <a:gd name="connsiteX16" fmla="*/ 857346 w 4103057"/>
              <a:gd name="connsiteY16" fmla="*/ 1200151 h 1783557"/>
              <a:gd name="connsiteX17" fmla="*/ 535877 w 4103057"/>
              <a:gd name="connsiteY17" fmla="*/ 1200151 h 1783557"/>
              <a:gd name="connsiteX18" fmla="*/ 309658 w 4103057"/>
              <a:gd name="connsiteY18" fmla="*/ 1140619 h 1783557"/>
              <a:gd name="connsiteX19" fmla="*/ 139932 w 4103057"/>
              <a:gd name="connsiteY19" fmla="*/ 1133477 h 1783557"/>
              <a:gd name="connsiteX20" fmla="*/ 0 w 4103057"/>
              <a:gd name="connsiteY20" fmla="*/ 1154907 h 1783557"/>
              <a:gd name="connsiteX21" fmla="*/ 27186 w 4103057"/>
              <a:gd name="connsiteY21" fmla="*/ 0 h 1783557"/>
              <a:gd name="connsiteX0" fmla="*/ 24815 w 4103057"/>
              <a:gd name="connsiteY0" fmla="*/ 19049 h 1743075"/>
              <a:gd name="connsiteX1" fmla="*/ 3693882 w 4103057"/>
              <a:gd name="connsiteY1" fmla="*/ 0 h 1743075"/>
              <a:gd name="connsiteX2" fmla="*/ 2683842 w 4103057"/>
              <a:gd name="connsiteY2" fmla="*/ 683419 h 1743075"/>
              <a:gd name="connsiteX3" fmla="*/ 1812266 w 4103057"/>
              <a:gd name="connsiteY3" fmla="*/ 545305 h 1743075"/>
              <a:gd name="connsiteX4" fmla="*/ 1726454 w 4103057"/>
              <a:gd name="connsiteY4" fmla="*/ 511968 h 1743075"/>
              <a:gd name="connsiteX5" fmla="*/ 1712464 w 4103057"/>
              <a:gd name="connsiteY5" fmla="*/ 571500 h 1743075"/>
              <a:gd name="connsiteX6" fmla="*/ 1857049 w 4103057"/>
              <a:gd name="connsiteY6" fmla="*/ 602458 h 1743075"/>
              <a:gd name="connsiteX7" fmla="*/ 2051529 w 4103057"/>
              <a:gd name="connsiteY7" fmla="*/ 626270 h 1743075"/>
              <a:gd name="connsiteX8" fmla="*/ 4103057 w 4103057"/>
              <a:gd name="connsiteY8" fmla="*/ 959643 h 1743075"/>
              <a:gd name="connsiteX9" fmla="*/ 4095846 w 4103057"/>
              <a:gd name="connsiteY9" fmla="*/ 1743075 h 1743075"/>
              <a:gd name="connsiteX10" fmla="*/ 1685945 w 4103057"/>
              <a:gd name="connsiteY10" fmla="*/ 1350169 h 1743075"/>
              <a:gd name="connsiteX11" fmla="*/ 1543022 w 4103057"/>
              <a:gd name="connsiteY11" fmla="*/ 1400175 h 1743075"/>
              <a:gd name="connsiteX12" fmla="*/ 1388337 w 4103057"/>
              <a:gd name="connsiteY12" fmla="*/ 1373981 h 1743075"/>
              <a:gd name="connsiteX13" fmla="*/ 1376382 w 4103057"/>
              <a:gd name="connsiteY13" fmla="*/ 1407319 h 1743075"/>
              <a:gd name="connsiteX14" fmla="*/ 1202627 w 4103057"/>
              <a:gd name="connsiteY14" fmla="*/ 1350169 h 1743075"/>
              <a:gd name="connsiteX15" fmla="*/ 1067270 w 4103057"/>
              <a:gd name="connsiteY15" fmla="*/ 1254920 h 1743075"/>
              <a:gd name="connsiteX16" fmla="*/ 857346 w 4103057"/>
              <a:gd name="connsiteY16" fmla="*/ 1159669 h 1743075"/>
              <a:gd name="connsiteX17" fmla="*/ 535877 w 4103057"/>
              <a:gd name="connsiteY17" fmla="*/ 1159669 h 1743075"/>
              <a:gd name="connsiteX18" fmla="*/ 309658 w 4103057"/>
              <a:gd name="connsiteY18" fmla="*/ 1100137 h 1743075"/>
              <a:gd name="connsiteX19" fmla="*/ 139932 w 4103057"/>
              <a:gd name="connsiteY19" fmla="*/ 1092995 h 1743075"/>
              <a:gd name="connsiteX20" fmla="*/ 0 w 4103057"/>
              <a:gd name="connsiteY20" fmla="*/ 1114425 h 1743075"/>
              <a:gd name="connsiteX21" fmla="*/ 24815 w 4103057"/>
              <a:gd name="connsiteY21" fmla="*/ 19049 h 1743075"/>
              <a:gd name="connsiteX0" fmla="*/ 15328 w 4093570"/>
              <a:gd name="connsiteY0" fmla="*/ 19049 h 1743075"/>
              <a:gd name="connsiteX1" fmla="*/ 3684395 w 4093570"/>
              <a:gd name="connsiteY1" fmla="*/ 0 h 1743075"/>
              <a:gd name="connsiteX2" fmla="*/ 2674355 w 4093570"/>
              <a:gd name="connsiteY2" fmla="*/ 683419 h 1743075"/>
              <a:gd name="connsiteX3" fmla="*/ 1802779 w 4093570"/>
              <a:gd name="connsiteY3" fmla="*/ 545305 h 1743075"/>
              <a:gd name="connsiteX4" fmla="*/ 1716967 w 4093570"/>
              <a:gd name="connsiteY4" fmla="*/ 511968 h 1743075"/>
              <a:gd name="connsiteX5" fmla="*/ 1702977 w 4093570"/>
              <a:gd name="connsiteY5" fmla="*/ 571500 h 1743075"/>
              <a:gd name="connsiteX6" fmla="*/ 1847562 w 4093570"/>
              <a:gd name="connsiteY6" fmla="*/ 602458 h 1743075"/>
              <a:gd name="connsiteX7" fmla="*/ 2042042 w 4093570"/>
              <a:gd name="connsiteY7" fmla="*/ 626270 h 1743075"/>
              <a:gd name="connsiteX8" fmla="*/ 4093570 w 4093570"/>
              <a:gd name="connsiteY8" fmla="*/ 959643 h 1743075"/>
              <a:gd name="connsiteX9" fmla="*/ 4086359 w 4093570"/>
              <a:gd name="connsiteY9" fmla="*/ 1743075 h 1743075"/>
              <a:gd name="connsiteX10" fmla="*/ 1676458 w 4093570"/>
              <a:gd name="connsiteY10" fmla="*/ 1350169 h 1743075"/>
              <a:gd name="connsiteX11" fmla="*/ 1533535 w 4093570"/>
              <a:gd name="connsiteY11" fmla="*/ 1400175 h 1743075"/>
              <a:gd name="connsiteX12" fmla="*/ 1378850 w 4093570"/>
              <a:gd name="connsiteY12" fmla="*/ 1373981 h 1743075"/>
              <a:gd name="connsiteX13" fmla="*/ 1366895 w 4093570"/>
              <a:gd name="connsiteY13" fmla="*/ 1407319 h 1743075"/>
              <a:gd name="connsiteX14" fmla="*/ 1193140 w 4093570"/>
              <a:gd name="connsiteY14" fmla="*/ 1350169 h 1743075"/>
              <a:gd name="connsiteX15" fmla="*/ 1057783 w 4093570"/>
              <a:gd name="connsiteY15" fmla="*/ 1254920 h 1743075"/>
              <a:gd name="connsiteX16" fmla="*/ 847859 w 4093570"/>
              <a:gd name="connsiteY16" fmla="*/ 1159669 h 1743075"/>
              <a:gd name="connsiteX17" fmla="*/ 526390 w 4093570"/>
              <a:gd name="connsiteY17" fmla="*/ 1159669 h 1743075"/>
              <a:gd name="connsiteX18" fmla="*/ 300171 w 4093570"/>
              <a:gd name="connsiteY18" fmla="*/ 1100137 h 1743075"/>
              <a:gd name="connsiteX19" fmla="*/ 130445 w 4093570"/>
              <a:gd name="connsiteY19" fmla="*/ 1092995 h 1743075"/>
              <a:gd name="connsiteX20" fmla="*/ 0 w 4093570"/>
              <a:gd name="connsiteY20" fmla="*/ 1047750 h 1743075"/>
              <a:gd name="connsiteX21" fmla="*/ 15328 w 4093570"/>
              <a:gd name="connsiteY21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528761 w 4095941"/>
              <a:gd name="connsiteY17" fmla="*/ 1159669 h 1743075"/>
              <a:gd name="connsiteX18" fmla="*/ 302542 w 4095941"/>
              <a:gd name="connsiteY18" fmla="*/ 1100137 h 1743075"/>
              <a:gd name="connsiteX19" fmla="*/ 132816 w 4095941"/>
              <a:gd name="connsiteY19" fmla="*/ 1092995 h 1743075"/>
              <a:gd name="connsiteX20" fmla="*/ 0 w 4095941"/>
              <a:gd name="connsiteY20" fmla="*/ 1059656 h 1743075"/>
              <a:gd name="connsiteX21" fmla="*/ 17699 w 4095941"/>
              <a:gd name="connsiteY21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528761 w 4095941"/>
              <a:gd name="connsiteY17" fmla="*/ 1159669 h 1743075"/>
              <a:gd name="connsiteX18" fmla="*/ 302542 w 4095941"/>
              <a:gd name="connsiteY18" fmla="*/ 1100137 h 1743075"/>
              <a:gd name="connsiteX19" fmla="*/ 173135 w 4095941"/>
              <a:gd name="connsiteY19" fmla="*/ 1083470 h 1743075"/>
              <a:gd name="connsiteX20" fmla="*/ 0 w 4095941"/>
              <a:gd name="connsiteY20" fmla="*/ 1059656 h 1743075"/>
              <a:gd name="connsiteX21" fmla="*/ 17699 w 4095941"/>
              <a:gd name="connsiteY21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528761 w 4095941"/>
              <a:gd name="connsiteY17" fmla="*/ 1159669 h 1743075"/>
              <a:gd name="connsiteX18" fmla="*/ 333374 w 4095941"/>
              <a:gd name="connsiteY18" fmla="*/ 1028700 h 1743075"/>
              <a:gd name="connsiteX19" fmla="*/ 173135 w 4095941"/>
              <a:gd name="connsiteY19" fmla="*/ 1083470 h 1743075"/>
              <a:gd name="connsiteX20" fmla="*/ 0 w 4095941"/>
              <a:gd name="connsiteY20" fmla="*/ 1059656 h 1743075"/>
              <a:gd name="connsiteX21" fmla="*/ 17699 w 4095941"/>
              <a:gd name="connsiteY21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528761 w 4095941"/>
              <a:gd name="connsiteY17" fmla="*/ 1031081 h 1743075"/>
              <a:gd name="connsiteX18" fmla="*/ 333374 w 4095941"/>
              <a:gd name="connsiteY18" fmla="*/ 1028700 h 1743075"/>
              <a:gd name="connsiteX19" fmla="*/ 173135 w 4095941"/>
              <a:gd name="connsiteY19" fmla="*/ 1083470 h 1743075"/>
              <a:gd name="connsiteX20" fmla="*/ 0 w 4095941"/>
              <a:gd name="connsiteY20" fmla="*/ 1059656 h 1743075"/>
              <a:gd name="connsiteX21" fmla="*/ 17699 w 4095941"/>
              <a:gd name="connsiteY21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706768 w 4095941"/>
              <a:gd name="connsiteY17" fmla="*/ 1107281 h 1743075"/>
              <a:gd name="connsiteX18" fmla="*/ 528761 w 4095941"/>
              <a:gd name="connsiteY18" fmla="*/ 1031081 h 1743075"/>
              <a:gd name="connsiteX19" fmla="*/ 333374 w 4095941"/>
              <a:gd name="connsiteY19" fmla="*/ 1028700 h 1743075"/>
              <a:gd name="connsiteX20" fmla="*/ 173135 w 4095941"/>
              <a:gd name="connsiteY20" fmla="*/ 1083470 h 1743075"/>
              <a:gd name="connsiteX21" fmla="*/ 0 w 4095941"/>
              <a:gd name="connsiteY21" fmla="*/ 1059656 h 1743075"/>
              <a:gd name="connsiteX22" fmla="*/ 17699 w 4095941"/>
              <a:gd name="connsiteY22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59669 h 1743075"/>
              <a:gd name="connsiteX17" fmla="*/ 694909 w 4095941"/>
              <a:gd name="connsiteY17" fmla="*/ 1126331 h 1743075"/>
              <a:gd name="connsiteX18" fmla="*/ 528761 w 4095941"/>
              <a:gd name="connsiteY18" fmla="*/ 1031081 h 1743075"/>
              <a:gd name="connsiteX19" fmla="*/ 333374 w 4095941"/>
              <a:gd name="connsiteY19" fmla="*/ 1028700 h 1743075"/>
              <a:gd name="connsiteX20" fmla="*/ 173135 w 4095941"/>
              <a:gd name="connsiteY20" fmla="*/ 1083470 h 1743075"/>
              <a:gd name="connsiteX21" fmla="*/ 0 w 4095941"/>
              <a:gd name="connsiteY21" fmla="*/ 1059656 h 1743075"/>
              <a:gd name="connsiteX22" fmla="*/ 17699 w 4095941"/>
              <a:gd name="connsiteY22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60154 w 4095941"/>
              <a:gd name="connsiteY15" fmla="*/ 1254920 h 1743075"/>
              <a:gd name="connsiteX16" fmla="*/ 850230 w 4095941"/>
              <a:gd name="connsiteY16" fmla="*/ 1188244 h 1743075"/>
              <a:gd name="connsiteX17" fmla="*/ 694909 w 4095941"/>
              <a:gd name="connsiteY17" fmla="*/ 1126331 h 1743075"/>
              <a:gd name="connsiteX18" fmla="*/ 528761 w 4095941"/>
              <a:gd name="connsiteY18" fmla="*/ 1031081 h 1743075"/>
              <a:gd name="connsiteX19" fmla="*/ 333374 w 4095941"/>
              <a:gd name="connsiteY19" fmla="*/ 1028700 h 1743075"/>
              <a:gd name="connsiteX20" fmla="*/ 173135 w 4095941"/>
              <a:gd name="connsiteY20" fmla="*/ 1083470 h 1743075"/>
              <a:gd name="connsiteX21" fmla="*/ 0 w 4095941"/>
              <a:gd name="connsiteY21" fmla="*/ 1059656 h 1743075"/>
              <a:gd name="connsiteX22" fmla="*/ 17699 w 4095941"/>
              <a:gd name="connsiteY22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36437 w 4095941"/>
              <a:gd name="connsiteY15" fmla="*/ 1197770 h 1743075"/>
              <a:gd name="connsiteX16" fmla="*/ 850230 w 4095941"/>
              <a:gd name="connsiteY16" fmla="*/ 1188244 h 1743075"/>
              <a:gd name="connsiteX17" fmla="*/ 694909 w 4095941"/>
              <a:gd name="connsiteY17" fmla="*/ 1126331 h 1743075"/>
              <a:gd name="connsiteX18" fmla="*/ 528761 w 4095941"/>
              <a:gd name="connsiteY18" fmla="*/ 1031081 h 1743075"/>
              <a:gd name="connsiteX19" fmla="*/ 333374 w 4095941"/>
              <a:gd name="connsiteY19" fmla="*/ 1028700 h 1743075"/>
              <a:gd name="connsiteX20" fmla="*/ 173135 w 4095941"/>
              <a:gd name="connsiteY20" fmla="*/ 1083470 h 1743075"/>
              <a:gd name="connsiteX21" fmla="*/ 0 w 4095941"/>
              <a:gd name="connsiteY21" fmla="*/ 1059656 h 1743075"/>
              <a:gd name="connsiteX22" fmla="*/ 17699 w 4095941"/>
              <a:gd name="connsiteY22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36437 w 4095941"/>
              <a:gd name="connsiteY15" fmla="*/ 1197770 h 1743075"/>
              <a:gd name="connsiteX16" fmla="*/ 958170 w 4095941"/>
              <a:gd name="connsiteY16" fmla="*/ 1197769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195511 w 4095941"/>
              <a:gd name="connsiteY14" fmla="*/ 13501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69266 w 4095941"/>
              <a:gd name="connsiteY13" fmla="*/ 1407319 h 1743075"/>
              <a:gd name="connsiteX14" fmla="*/ 1200254 w 4095941"/>
              <a:gd name="connsiteY14" fmla="*/ 12358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381221 w 4095941"/>
              <a:gd name="connsiteY12" fmla="*/ 1373981 h 1743075"/>
              <a:gd name="connsiteX13" fmla="*/ 1374010 w 4095941"/>
              <a:gd name="connsiteY13" fmla="*/ 1283494 h 1743075"/>
              <a:gd name="connsiteX14" fmla="*/ 1200254 w 4095941"/>
              <a:gd name="connsiteY14" fmla="*/ 12358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35906 w 4095941"/>
              <a:gd name="connsiteY11" fmla="*/ 1400175 h 1743075"/>
              <a:gd name="connsiteX12" fmla="*/ 1518781 w 4095941"/>
              <a:gd name="connsiteY12" fmla="*/ 1352549 h 1743075"/>
              <a:gd name="connsiteX13" fmla="*/ 1374010 w 4095941"/>
              <a:gd name="connsiteY13" fmla="*/ 1283494 h 1743075"/>
              <a:gd name="connsiteX14" fmla="*/ 1200254 w 4095941"/>
              <a:gd name="connsiteY14" fmla="*/ 12358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78829 w 4095941"/>
              <a:gd name="connsiteY10" fmla="*/ 1350169 h 1743075"/>
              <a:gd name="connsiteX11" fmla="*/ 1559623 w 4095941"/>
              <a:gd name="connsiteY11" fmla="*/ 1333500 h 1743075"/>
              <a:gd name="connsiteX12" fmla="*/ 1518781 w 4095941"/>
              <a:gd name="connsiteY12" fmla="*/ 1352549 h 1743075"/>
              <a:gd name="connsiteX13" fmla="*/ 1374010 w 4095941"/>
              <a:gd name="connsiteY13" fmla="*/ 1283494 h 1743075"/>
              <a:gd name="connsiteX14" fmla="*/ 1200254 w 4095941"/>
              <a:gd name="connsiteY14" fmla="*/ 12358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3075"/>
              <a:gd name="connsiteX1" fmla="*/ 3686766 w 4095941"/>
              <a:gd name="connsiteY1" fmla="*/ 0 h 1743075"/>
              <a:gd name="connsiteX2" fmla="*/ 2676726 w 4095941"/>
              <a:gd name="connsiteY2" fmla="*/ 683419 h 1743075"/>
              <a:gd name="connsiteX3" fmla="*/ 1805150 w 4095941"/>
              <a:gd name="connsiteY3" fmla="*/ 545305 h 1743075"/>
              <a:gd name="connsiteX4" fmla="*/ 1719338 w 4095941"/>
              <a:gd name="connsiteY4" fmla="*/ 511968 h 1743075"/>
              <a:gd name="connsiteX5" fmla="*/ 1705348 w 4095941"/>
              <a:gd name="connsiteY5" fmla="*/ 571500 h 1743075"/>
              <a:gd name="connsiteX6" fmla="*/ 1849933 w 4095941"/>
              <a:gd name="connsiteY6" fmla="*/ 602458 h 1743075"/>
              <a:gd name="connsiteX7" fmla="*/ 2044413 w 4095941"/>
              <a:gd name="connsiteY7" fmla="*/ 626270 h 1743075"/>
              <a:gd name="connsiteX8" fmla="*/ 4095941 w 4095941"/>
              <a:gd name="connsiteY8" fmla="*/ 959643 h 1743075"/>
              <a:gd name="connsiteX9" fmla="*/ 4088730 w 4095941"/>
              <a:gd name="connsiteY9" fmla="*/ 1743075 h 1743075"/>
              <a:gd name="connsiteX10" fmla="*/ 1683573 w 4095941"/>
              <a:gd name="connsiteY10" fmla="*/ 1364456 h 1743075"/>
              <a:gd name="connsiteX11" fmla="*/ 1559623 w 4095941"/>
              <a:gd name="connsiteY11" fmla="*/ 1333500 h 1743075"/>
              <a:gd name="connsiteX12" fmla="*/ 1518781 w 4095941"/>
              <a:gd name="connsiteY12" fmla="*/ 1352549 h 1743075"/>
              <a:gd name="connsiteX13" fmla="*/ 1374010 w 4095941"/>
              <a:gd name="connsiteY13" fmla="*/ 1283494 h 1743075"/>
              <a:gd name="connsiteX14" fmla="*/ 1200254 w 4095941"/>
              <a:gd name="connsiteY14" fmla="*/ 1235869 h 1743075"/>
              <a:gd name="connsiteX15" fmla="*/ 1036437 w 4095941"/>
              <a:gd name="connsiteY15" fmla="*/ 1197770 h 1743075"/>
              <a:gd name="connsiteX16" fmla="*/ 955799 w 4095941"/>
              <a:gd name="connsiteY16" fmla="*/ 1207294 h 1743075"/>
              <a:gd name="connsiteX17" fmla="*/ 850230 w 4095941"/>
              <a:gd name="connsiteY17" fmla="*/ 1188244 h 1743075"/>
              <a:gd name="connsiteX18" fmla="*/ 694909 w 4095941"/>
              <a:gd name="connsiteY18" fmla="*/ 1126331 h 1743075"/>
              <a:gd name="connsiteX19" fmla="*/ 528761 w 4095941"/>
              <a:gd name="connsiteY19" fmla="*/ 1031081 h 1743075"/>
              <a:gd name="connsiteX20" fmla="*/ 333374 w 4095941"/>
              <a:gd name="connsiteY20" fmla="*/ 1028700 h 1743075"/>
              <a:gd name="connsiteX21" fmla="*/ 173135 w 4095941"/>
              <a:gd name="connsiteY21" fmla="*/ 1083470 h 1743075"/>
              <a:gd name="connsiteX22" fmla="*/ 0 w 4095941"/>
              <a:gd name="connsiteY22" fmla="*/ 1059656 h 1743075"/>
              <a:gd name="connsiteX23" fmla="*/ 17699 w 4095941"/>
              <a:gd name="connsiteY23" fmla="*/ 19049 h 1743075"/>
              <a:gd name="connsiteX0" fmla="*/ 17699 w 4095941"/>
              <a:gd name="connsiteY0" fmla="*/ 19049 h 1745456"/>
              <a:gd name="connsiteX1" fmla="*/ 3686766 w 4095941"/>
              <a:gd name="connsiteY1" fmla="*/ 0 h 1745456"/>
              <a:gd name="connsiteX2" fmla="*/ 2676726 w 4095941"/>
              <a:gd name="connsiteY2" fmla="*/ 683419 h 1745456"/>
              <a:gd name="connsiteX3" fmla="*/ 1805150 w 4095941"/>
              <a:gd name="connsiteY3" fmla="*/ 545305 h 1745456"/>
              <a:gd name="connsiteX4" fmla="*/ 1719338 w 4095941"/>
              <a:gd name="connsiteY4" fmla="*/ 511968 h 1745456"/>
              <a:gd name="connsiteX5" fmla="*/ 1705348 w 4095941"/>
              <a:gd name="connsiteY5" fmla="*/ 571500 h 1745456"/>
              <a:gd name="connsiteX6" fmla="*/ 1849933 w 4095941"/>
              <a:gd name="connsiteY6" fmla="*/ 602458 h 1745456"/>
              <a:gd name="connsiteX7" fmla="*/ 2044413 w 4095941"/>
              <a:gd name="connsiteY7" fmla="*/ 626270 h 1745456"/>
              <a:gd name="connsiteX8" fmla="*/ 4095941 w 4095941"/>
              <a:gd name="connsiteY8" fmla="*/ 959643 h 1745456"/>
              <a:gd name="connsiteX9" fmla="*/ 4005720 w 4095941"/>
              <a:gd name="connsiteY9" fmla="*/ 1745456 h 1745456"/>
              <a:gd name="connsiteX10" fmla="*/ 1683573 w 4095941"/>
              <a:gd name="connsiteY10" fmla="*/ 1364456 h 1745456"/>
              <a:gd name="connsiteX11" fmla="*/ 1559623 w 4095941"/>
              <a:gd name="connsiteY11" fmla="*/ 1333500 h 1745456"/>
              <a:gd name="connsiteX12" fmla="*/ 1518781 w 4095941"/>
              <a:gd name="connsiteY12" fmla="*/ 1352549 h 1745456"/>
              <a:gd name="connsiteX13" fmla="*/ 1374010 w 4095941"/>
              <a:gd name="connsiteY13" fmla="*/ 1283494 h 1745456"/>
              <a:gd name="connsiteX14" fmla="*/ 1200254 w 4095941"/>
              <a:gd name="connsiteY14" fmla="*/ 1235869 h 1745456"/>
              <a:gd name="connsiteX15" fmla="*/ 1036437 w 4095941"/>
              <a:gd name="connsiteY15" fmla="*/ 1197770 h 1745456"/>
              <a:gd name="connsiteX16" fmla="*/ 955799 w 4095941"/>
              <a:gd name="connsiteY16" fmla="*/ 1207294 h 1745456"/>
              <a:gd name="connsiteX17" fmla="*/ 850230 w 4095941"/>
              <a:gd name="connsiteY17" fmla="*/ 1188244 h 1745456"/>
              <a:gd name="connsiteX18" fmla="*/ 694909 w 4095941"/>
              <a:gd name="connsiteY18" fmla="*/ 1126331 h 1745456"/>
              <a:gd name="connsiteX19" fmla="*/ 528761 w 4095941"/>
              <a:gd name="connsiteY19" fmla="*/ 1031081 h 1745456"/>
              <a:gd name="connsiteX20" fmla="*/ 333374 w 4095941"/>
              <a:gd name="connsiteY20" fmla="*/ 1028700 h 1745456"/>
              <a:gd name="connsiteX21" fmla="*/ 173135 w 4095941"/>
              <a:gd name="connsiteY21" fmla="*/ 1083470 h 1745456"/>
              <a:gd name="connsiteX22" fmla="*/ 0 w 4095941"/>
              <a:gd name="connsiteY22" fmla="*/ 1059656 h 1745456"/>
              <a:gd name="connsiteX23" fmla="*/ 17699 w 4095941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76726 w 4008124"/>
              <a:gd name="connsiteY2" fmla="*/ 683419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49933 w 4008124"/>
              <a:gd name="connsiteY6" fmla="*/ 602458 h 1745456"/>
              <a:gd name="connsiteX7" fmla="*/ 2044413 w 4008124"/>
              <a:gd name="connsiteY7" fmla="*/ 626270 h 1745456"/>
              <a:gd name="connsiteX8" fmla="*/ 4005816 w 4008124"/>
              <a:gd name="connsiteY8" fmla="*/ 945356 h 1745456"/>
              <a:gd name="connsiteX9" fmla="*/ 4005720 w 4008124"/>
              <a:gd name="connsiteY9" fmla="*/ 1745456 h 1745456"/>
              <a:gd name="connsiteX10" fmla="*/ 1683573 w 4008124"/>
              <a:gd name="connsiteY10" fmla="*/ 1364456 h 1745456"/>
              <a:gd name="connsiteX11" fmla="*/ 1559623 w 4008124"/>
              <a:gd name="connsiteY11" fmla="*/ 1333500 h 1745456"/>
              <a:gd name="connsiteX12" fmla="*/ 1518781 w 4008124"/>
              <a:gd name="connsiteY12" fmla="*/ 1352549 h 1745456"/>
              <a:gd name="connsiteX13" fmla="*/ 1374010 w 4008124"/>
              <a:gd name="connsiteY13" fmla="*/ 1283494 h 1745456"/>
              <a:gd name="connsiteX14" fmla="*/ 1200254 w 4008124"/>
              <a:gd name="connsiteY14" fmla="*/ 1235869 h 1745456"/>
              <a:gd name="connsiteX15" fmla="*/ 1036437 w 4008124"/>
              <a:gd name="connsiteY15" fmla="*/ 1197770 h 1745456"/>
              <a:gd name="connsiteX16" fmla="*/ 955799 w 4008124"/>
              <a:gd name="connsiteY16" fmla="*/ 1207294 h 1745456"/>
              <a:gd name="connsiteX17" fmla="*/ 850230 w 4008124"/>
              <a:gd name="connsiteY17" fmla="*/ 1188244 h 1745456"/>
              <a:gd name="connsiteX18" fmla="*/ 694909 w 4008124"/>
              <a:gd name="connsiteY18" fmla="*/ 1126331 h 1745456"/>
              <a:gd name="connsiteX19" fmla="*/ 528761 w 4008124"/>
              <a:gd name="connsiteY19" fmla="*/ 1031081 h 1745456"/>
              <a:gd name="connsiteX20" fmla="*/ 333374 w 4008124"/>
              <a:gd name="connsiteY20" fmla="*/ 1028700 h 1745456"/>
              <a:gd name="connsiteX21" fmla="*/ 173135 w 4008124"/>
              <a:gd name="connsiteY21" fmla="*/ 1083470 h 1745456"/>
              <a:gd name="connsiteX22" fmla="*/ 0 w 4008124"/>
              <a:gd name="connsiteY22" fmla="*/ 1059656 h 1745456"/>
              <a:gd name="connsiteX23" fmla="*/ 17699 w 4008124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45894 w 4008124"/>
              <a:gd name="connsiteY2" fmla="*/ 671513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49933 w 4008124"/>
              <a:gd name="connsiteY6" fmla="*/ 602458 h 1745456"/>
              <a:gd name="connsiteX7" fmla="*/ 2044413 w 4008124"/>
              <a:gd name="connsiteY7" fmla="*/ 626270 h 1745456"/>
              <a:gd name="connsiteX8" fmla="*/ 4005816 w 4008124"/>
              <a:gd name="connsiteY8" fmla="*/ 945356 h 1745456"/>
              <a:gd name="connsiteX9" fmla="*/ 4005720 w 4008124"/>
              <a:gd name="connsiteY9" fmla="*/ 1745456 h 1745456"/>
              <a:gd name="connsiteX10" fmla="*/ 1683573 w 4008124"/>
              <a:gd name="connsiteY10" fmla="*/ 1364456 h 1745456"/>
              <a:gd name="connsiteX11" fmla="*/ 1559623 w 4008124"/>
              <a:gd name="connsiteY11" fmla="*/ 1333500 h 1745456"/>
              <a:gd name="connsiteX12" fmla="*/ 1518781 w 4008124"/>
              <a:gd name="connsiteY12" fmla="*/ 1352549 h 1745456"/>
              <a:gd name="connsiteX13" fmla="*/ 1374010 w 4008124"/>
              <a:gd name="connsiteY13" fmla="*/ 1283494 h 1745456"/>
              <a:gd name="connsiteX14" fmla="*/ 1200254 w 4008124"/>
              <a:gd name="connsiteY14" fmla="*/ 1235869 h 1745456"/>
              <a:gd name="connsiteX15" fmla="*/ 1036437 w 4008124"/>
              <a:gd name="connsiteY15" fmla="*/ 1197770 h 1745456"/>
              <a:gd name="connsiteX16" fmla="*/ 955799 w 4008124"/>
              <a:gd name="connsiteY16" fmla="*/ 1207294 h 1745456"/>
              <a:gd name="connsiteX17" fmla="*/ 850230 w 4008124"/>
              <a:gd name="connsiteY17" fmla="*/ 1188244 h 1745456"/>
              <a:gd name="connsiteX18" fmla="*/ 694909 w 4008124"/>
              <a:gd name="connsiteY18" fmla="*/ 1126331 h 1745456"/>
              <a:gd name="connsiteX19" fmla="*/ 528761 w 4008124"/>
              <a:gd name="connsiteY19" fmla="*/ 1031081 h 1745456"/>
              <a:gd name="connsiteX20" fmla="*/ 333374 w 4008124"/>
              <a:gd name="connsiteY20" fmla="*/ 1028700 h 1745456"/>
              <a:gd name="connsiteX21" fmla="*/ 173135 w 4008124"/>
              <a:gd name="connsiteY21" fmla="*/ 1083470 h 1745456"/>
              <a:gd name="connsiteX22" fmla="*/ 0 w 4008124"/>
              <a:gd name="connsiteY22" fmla="*/ 1059656 h 1745456"/>
              <a:gd name="connsiteX23" fmla="*/ 17699 w 4008124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49933 w 4008124"/>
              <a:gd name="connsiteY6" fmla="*/ 602458 h 1745456"/>
              <a:gd name="connsiteX7" fmla="*/ 2044413 w 4008124"/>
              <a:gd name="connsiteY7" fmla="*/ 626270 h 1745456"/>
              <a:gd name="connsiteX8" fmla="*/ 4005816 w 4008124"/>
              <a:gd name="connsiteY8" fmla="*/ 945356 h 1745456"/>
              <a:gd name="connsiteX9" fmla="*/ 4005720 w 4008124"/>
              <a:gd name="connsiteY9" fmla="*/ 1745456 h 1745456"/>
              <a:gd name="connsiteX10" fmla="*/ 1683573 w 4008124"/>
              <a:gd name="connsiteY10" fmla="*/ 1364456 h 1745456"/>
              <a:gd name="connsiteX11" fmla="*/ 1559623 w 4008124"/>
              <a:gd name="connsiteY11" fmla="*/ 1333500 h 1745456"/>
              <a:gd name="connsiteX12" fmla="*/ 1518781 w 4008124"/>
              <a:gd name="connsiteY12" fmla="*/ 1352549 h 1745456"/>
              <a:gd name="connsiteX13" fmla="*/ 1374010 w 4008124"/>
              <a:gd name="connsiteY13" fmla="*/ 1283494 h 1745456"/>
              <a:gd name="connsiteX14" fmla="*/ 1200254 w 4008124"/>
              <a:gd name="connsiteY14" fmla="*/ 1235869 h 1745456"/>
              <a:gd name="connsiteX15" fmla="*/ 1036437 w 4008124"/>
              <a:gd name="connsiteY15" fmla="*/ 1197770 h 1745456"/>
              <a:gd name="connsiteX16" fmla="*/ 955799 w 4008124"/>
              <a:gd name="connsiteY16" fmla="*/ 1207294 h 1745456"/>
              <a:gd name="connsiteX17" fmla="*/ 850230 w 4008124"/>
              <a:gd name="connsiteY17" fmla="*/ 1188244 h 1745456"/>
              <a:gd name="connsiteX18" fmla="*/ 694909 w 4008124"/>
              <a:gd name="connsiteY18" fmla="*/ 1126331 h 1745456"/>
              <a:gd name="connsiteX19" fmla="*/ 528761 w 4008124"/>
              <a:gd name="connsiteY19" fmla="*/ 1031081 h 1745456"/>
              <a:gd name="connsiteX20" fmla="*/ 333374 w 4008124"/>
              <a:gd name="connsiteY20" fmla="*/ 1028700 h 1745456"/>
              <a:gd name="connsiteX21" fmla="*/ 173135 w 4008124"/>
              <a:gd name="connsiteY21" fmla="*/ 1083470 h 1745456"/>
              <a:gd name="connsiteX22" fmla="*/ 0 w 4008124"/>
              <a:gd name="connsiteY22" fmla="*/ 1059656 h 1745456"/>
              <a:gd name="connsiteX23" fmla="*/ 17699 w 4008124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2044413 w 4008124"/>
              <a:gd name="connsiteY7" fmla="*/ 626270 h 1745456"/>
              <a:gd name="connsiteX8" fmla="*/ 4005816 w 4008124"/>
              <a:gd name="connsiteY8" fmla="*/ 945356 h 1745456"/>
              <a:gd name="connsiteX9" fmla="*/ 4005720 w 4008124"/>
              <a:gd name="connsiteY9" fmla="*/ 1745456 h 1745456"/>
              <a:gd name="connsiteX10" fmla="*/ 1683573 w 4008124"/>
              <a:gd name="connsiteY10" fmla="*/ 1364456 h 1745456"/>
              <a:gd name="connsiteX11" fmla="*/ 1559623 w 4008124"/>
              <a:gd name="connsiteY11" fmla="*/ 1333500 h 1745456"/>
              <a:gd name="connsiteX12" fmla="*/ 1518781 w 4008124"/>
              <a:gd name="connsiteY12" fmla="*/ 1352549 h 1745456"/>
              <a:gd name="connsiteX13" fmla="*/ 1374010 w 4008124"/>
              <a:gd name="connsiteY13" fmla="*/ 1283494 h 1745456"/>
              <a:gd name="connsiteX14" fmla="*/ 1200254 w 4008124"/>
              <a:gd name="connsiteY14" fmla="*/ 1235869 h 1745456"/>
              <a:gd name="connsiteX15" fmla="*/ 1036437 w 4008124"/>
              <a:gd name="connsiteY15" fmla="*/ 1197770 h 1745456"/>
              <a:gd name="connsiteX16" fmla="*/ 955799 w 4008124"/>
              <a:gd name="connsiteY16" fmla="*/ 1207294 h 1745456"/>
              <a:gd name="connsiteX17" fmla="*/ 850230 w 4008124"/>
              <a:gd name="connsiteY17" fmla="*/ 1188244 h 1745456"/>
              <a:gd name="connsiteX18" fmla="*/ 694909 w 4008124"/>
              <a:gd name="connsiteY18" fmla="*/ 1126331 h 1745456"/>
              <a:gd name="connsiteX19" fmla="*/ 528761 w 4008124"/>
              <a:gd name="connsiteY19" fmla="*/ 1031081 h 1745456"/>
              <a:gd name="connsiteX20" fmla="*/ 333374 w 4008124"/>
              <a:gd name="connsiteY20" fmla="*/ 1028700 h 1745456"/>
              <a:gd name="connsiteX21" fmla="*/ 173135 w 4008124"/>
              <a:gd name="connsiteY21" fmla="*/ 1083470 h 1745456"/>
              <a:gd name="connsiteX22" fmla="*/ 0 w 4008124"/>
              <a:gd name="connsiteY22" fmla="*/ 1059656 h 1745456"/>
              <a:gd name="connsiteX23" fmla="*/ 17699 w 4008124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2061015 w 4008124"/>
              <a:gd name="connsiteY7" fmla="*/ 821533 h 1745456"/>
              <a:gd name="connsiteX8" fmla="*/ 4005816 w 4008124"/>
              <a:gd name="connsiteY8" fmla="*/ 945356 h 1745456"/>
              <a:gd name="connsiteX9" fmla="*/ 4005720 w 4008124"/>
              <a:gd name="connsiteY9" fmla="*/ 1745456 h 1745456"/>
              <a:gd name="connsiteX10" fmla="*/ 1683573 w 4008124"/>
              <a:gd name="connsiteY10" fmla="*/ 1364456 h 1745456"/>
              <a:gd name="connsiteX11" fmla="*/ 1559623 w 4008124"/>
              <a:gd name="connsiteY11" fmla="*/ 1333500 h 1745456"/>
              <a:gd name="connsiteX12" fmla="*/ 1518781 w 4008124"/>
              <a:gd name="connsiteY12" fmla="*/ 1352549 h 1745456"/>
              <a:gd name="connsiteX13" fmla="*/ 1374010 w 4008124"/>
              <a:gd name="connsiteY13" fmla="*/ 1283494 h 1745456"/>
              <a:gd name="connsiteX14" fmla="*/ 1200254 w 4008124"/>
              <a:gd name="connsiteY14" fmla="*/ 1235869 h 1745456"/>
              <a:gd name="connsiteX15" fmla="*/ 1036437 w 4008124"/>
              <a:gd name="connsiteY15" fmla="*/ 1197770 h 1745456"/>
              <a:gd name="connsiteX16" fmla="*/ 955799 w 4008124"/>
              <a:gd name="connsiteY16" fmla="*/ 1207294 h 1745456"/>
              <a:gd name="connsiteX17" fmla="*/ 850230 w 4008124"/>
              <a:gd name="connsiteY17" fmla="*/ 1188244 h 1745456"/>
              <a:gd name="connsiteX18" fmla="*/ 694909 w 4008124"/>
              <a:gd name="connsiteY18" fmla="*/ 1126331 h 1745456"/>
              <a:gd name="connsiteX19" fmla="*/ 528761 w 4008124"/>
              <a:gd name="connsiteY19" fmla="*/ 1031081 h 1745456"/>
              <a:gd name="connsiteX20" fmla="*/ 333374 w 4008124"/>
              <a:gd name="connsiteY20" fmla="*/ 1028700 h 1745456"/>
              <a:gd name="connsiteX21" fmla="*/ 173135 w 4008124"/>
              <a:gd name="connsiteY21" fmla="*/ 1083470 h 1745456"/>
              <a:gd name="connsiteX22" fmla="*/ 0 w 4008124"/>
              <a:gd name="connsiteY22" fmla="*/ 1059656 h 1745456"/>
              <a:gd name="connsiteX23" fmla="*/ 17699 w 4008124"/>
              <a:gd name="connsiteY2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918711 w 4008124"/>
              <a:gd name="connsiteY7" fmla="*/ 731043 h 1745456"/>
              <a:gd name="connsiteX8" fmla="*/ 2061015 w 4008124"/>
              <a:gd name="connsiteY8" fmla="*/ 821533 h 1745456"/>
              <a:gd name="connsiteX9" fmla="*/ 4005816 w 4008124"/>
              <a:gd name="connsiteY9" fmla="*/ 945356 h 1745456"/>
              <a:gd name="connsiteX10" fmla="*/ 4005720 w 4008124"/>
              <a:gd name="connsiteY10" fmla="*/ 1745456 h 1745456"/>
              <a:gd name="connsiteX11" fmla="*/ 1683573 w 4008124"/>
              <a:gd name="connsiteY11" fmla="*/ 1364456 h 1745456"/>
              <a:gd name="connsiteX12" fmla="*/ 1559623 w 4008124"/>
              <a:gd name="connsiteY12" fmla="*/ 1333500 h 1745456"/>
              <a:gd name="connsiteX13" fmla="*/ 1518781 w 4008124"/>
              <a:gd name="connsiteY13" fmla="*/ 1352549 h 1745456"/>
              <a:gd name="connsiteX14" fmla="*/ 1374010 w 4008124"/>
              <a:gd name="connsiteY14" fmla="*/ 1283494 h 1745456"/>
              <a:gd name="connsiteX15" fmla="*/ 1200254 w 4008124"/>
              <a:gd name="connsiteY15" fmla="*/ 1235869 h 1745456"/>
              <a:gd name="connsiteX16" fmla="*/ 1036437 w 4008124"/>
              <a:gd name="connsiteY16" fmla="*/ 1197770 h 1745456"/>
              <a:gd name="connsiteX17" fmla="*/ 955799 w 4008124"/>
              <a:gd name="connsiteY17" fmla="*/ 1207294 h 1745456"/>
              <a:gd name="connsiteX18" fmla="*/ 850230 w 4008124"/>
              <a:gd name="connsiteY18" fmla="*/ 1188244 h 1745456"/>
              <a:gd name="connsiteX19" fmla="*/ 694909 w 4008124"/>
              <a:gd name="connsiteY19" fmla="*/ 1126331 h 1745456"/>
              <a:gd name="connsiteX20" fmla="*/ 528761 w 4008124"/>
              <a:gd name="connsiteY20" fmla="*/ 1031081 h 1745456"/>
              <a:gd name="connsiteX21" fmla="*/ 333374 w 4008124"/>
              <a:gd name="connsiteY21" fmla="*/ 1028700 h 1745456"/>
              <a:gd name="connsiteX22" fmla="*/ 173135 w 4008124"/>
              <a:gd name="connsiteY22" fmla="*/ 1083470 h 1745456"/>
              <a:gd name="connsiteX23" fmla="*/ 0 w 4008124"/>
              <a:gd name="connsiteY23" fmla="*/ 1059656 h 1745456"/>
              <a:gd name="connsiteX24" fmla="*/ 17699 w 4008124"/>
              <a:gd name="connsiteY24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4005816 w 4008124"/>
              <a:gd name="connsiteY9" fmla="*/ 945356 h 1745456"/>
              <a:gd name="connsiteX10" fmla="*/ 4005720 w 4008124"/>
              <a:gd name="connsiteY10" fmla="*/ 1745456 h 1745456"/>
              <a:gd name="connsiteX11" fmla="*/ 1683573 w 4008124"/>
              <a:gd name="connsiteY11" fmla="*/ 1364456 h 1745456"/>
              <a:gd name="connsiteX12" fmla="*/ 1559623 w 4008124"/>
              <a:gd name="connsiteY12" fmla="*/ 1333500 h 1745456"/>
              <a:gd name="connsiteX13" fmla="*/ 1518781 w 4008124"/>
              <a:gd name="connsiteY13" fmla="*/ 1352549 h 1745456"/>
              <a:gd name="connsiteX14" fmla="*/ 1374010 w 4008124"/>
              <a:gd name="connsiteY14" fmla="*/ 1283494 h 1745456"/>
              <a:gd name="connsiteX15" fmla="*/ 1200254 w 4008124"/>
              <a:gd name="connsiteY15" fmla="*/ 1235869 h 1745456"/>
              <a:gd name="connsiteX16" fmla="*/ 1036437 w 4008124"/>
              <a:gd name="connsiteY16" fmla="*/ 1197770 h 1745456"/>
              <a:gd name="connsiteX17" fmla="*/ 955799 w 4008124"/>
              <a:gd name="connsiteY17" fmla="*/ 1207294 h 1745456"/>
              <a:gd name="connsiteX18" fmla="*/ 850230 w 4008124"/>
              <a:gd name="connsiteY18" fmla="*/ 1188244 h 1745456"/>
              <a:gd name="connsiteX19" fmla="*/ 694909 w 4008124"/>
              <a:gd name="connsiteY19" fmla="*/ 1126331 h 1745456"/>
              <a:gd name="connsiteX20" fmla="*/ 528761 w 4008124"/>
              <a:gd name="connsiteY20" fmla="*/ 1031081 h 1745456"/>
              <a:gd name="connsiteX21" fmla="*/ 333374 w 4008124"/>
              <a:gd name="connsiteY21" fmla="*/ 1028700 h 1745456"/>
              <a:gd name="connsiteX22" fmla="*/ 173135 w 4008124"/>
              <a:gd name="connsiteY22" fmla="*/ 1083470 h 1745456"/>
              <a:gd name="connsiteX23" fmla="*/ 0 w 4008124"/>
              <a:gd name="connsiteY23" fmla="*/ 1059656 h 1745456"/>
              <a:gd name="connsiteX24" fmla="*/ 17699 w 4008124"/>
              <a:gd name="connsiteY24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746437 w 4008124"/>
              <a:gd name="connsiteY9" fmla="*/ 864393 h 1745456"/>
              <a:gd name="connsiteX10" fmla="*/ 4005816 w 4008124"/>
              <a:gd name="connsiteY10" fmla="*/ 945356 h 1745456"/>
              <a:gd name="connsiteX11" fmla="*/ 4005720 w 4008124"/>
              <a:gd name="connsiteY11" fmla="*/ 1745456 h 1745456"/>
              <a:gd name="connsiteX12" fmla="*/ 1683573 w 4008124"/>
              <a:gd name="connsiteY12" fmla="*/ 1364456 h 1745456"/>
              <a:gd name="connsiteX13" fmla="*/ 1559623 w 4008124"/>
              <a:gd name="connsiteY13" fmla="*/ 1333500 h 1745456"/>
              <a:gd name="connsiteX14" fmla="*/ 1518781 w 4008124"/>
              <a:gd name="connsiteY14" fmla="*/ 1352549 h 1745456"/>
              <a:gd name="connsiteX15" fmla="*/ 1374010 w 4008124"/>
              <a:gd name="connsiteY15" fmla="*/ 1283494 h 1745456"/>
              <a:gd name="connsiteX16" fmla="*/ 1200254 w 4008124"/>
              <a:gd name="connsiteY16" fmla="*/ 1235869 h 1745456"/>
              <a:gd name="connsiteX17" fmla="*/ 1036437 w 4008124"/>
              <a:gd name="connsiteY17" fmla="*/ 1197770 h 1745456"/>
              <a:gd name="connsiteX18" fmla="*/ 955799 w 4008124"/>
              <a:gd name="connsiteY18" fmla="*/ 1207294 h 1745456"/>
              <a:gd name="connsiteX19" fmla="*/ 850230 w 4008124"/>
              <a:gd name="connsiteY19" fmla="*/ 1188244 h 1745456"/>
              <a:gd name="connsiteX20" fmla="*/ 694909 w 4008124"/>
              <a:gd name="connsiteY20" fmla="*/ 1126331 h 1745456"/>
              <a:gd name="connsiteX21" fmla="*/ 528761 w 4008124"/>
              <a:gd name="connsiteY21" fmla="*/ 1031081 h 1745456"/>
              <a:gd name="connsiteX22" fmla="*/ 333374 w 4008124"/>
              <a:gd name="connsiteY22" fmla="*/ 1028700 h 1745456"/>
              <a:gd name="connsiteX23" fmla="*/ 173135 w 4008124"/>
              <a:gd name="connsiteY23" fmla="*/ 1083470 h 1745456"/>
              <a:gd name="connsiteX24" fmla="*/ 0 w 4008124"/>
              <a:gd name="connsiteY24" fmla="*/ 1059656 h 1745456"/>
              <a:gd name="connsiteX25" fmla="*/ 17699 w 4008124"/>
              <a:gd name="connsiteY25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4005816 w 4008124"/>
              <a:gd name="connsiteY10" fmla="*/ 945356 h 1745456"/>
              <a:gd name="connsiteX11" fmla="*/ 4005720 w 4008124"/>
              <a:gd name="connsiteY11" fmla="*/ 1745456 h 1745456"/>
              <a:gd name="connsiteX12" fmla="*/ 1683573 w 4008124"/>
              <a:gd name="connsiteY12" fmla="*/ 1364456 h 1745456"/>
              <a:gd name="connsiteX13" fmla="*/ 1559623 w 4008124"/>
              <a:gd name="connsiteY13" fmla="*/ 1333500 h 1745456"/>
              <a:gd name="connsiteX14" fmla="*/ 1518781 w 4008124"/>
              <a:gd name="connsiteY14" fmla="*/ 1352549 h 1745456"/>
              <a:gd name="connsiteX15" fmla="*/ 1374010 w 4008124"/>
              <a:gd name="connsiteY15" fmla="*/ 1283494 h 1745456"/>
              <a:gd name="connsiteX16" fmla="*/ 1200254 w 4008124"/>
              <a:gd name="connsiteY16" fmla="*/ 1235869 h 1745456"/>
              <a:gd name="connsiteX17" fmla="*/ 1036437 w 4008124"/>
              <a:gd name="connsiteY17" fmla="*/ 1197770 h 1745456"/>
              <a:gd name="connsiteX18" fmla="*/ 955799 w 4008124"/>
              <a:gd name="connsiteY18" fmla="*/ 1207294 h 1745456"/>
              <a:gd name="connsiteX19" fmla="*/ 850230 w 4008124"/>
              <a:gd name="connsiteY19" fmla="*/ 1188244 h 1745456"/>
              <a:gd name="connsiteX20" fmla="*/ 694909 w 4008124"/>
              <a:gd name="connsiteY20" fmla="*/ 1126331 h 1745456"/>
              <a:gd name="connsiteX21" fmla="*/ 528761 w 4008124"/>
              <a:gd name="connsiteY21" fmla="*/ 1031081 h 1745456"/>
              <a:gd name="connsiteX22" fmla="*/ 333374 w 4008124"/>
              <a:gd name="connsiteY22" fmla="*/ 1028700 h 1745456"/>
              <a:gd name="connsiteX23" fmla="*/ 173135 w 4008124"/>
              <a:gd name="connsiteY23" fmla="*/ 1083470 h 1745456"/>
              <a:gd name="connsiteX24" fmla="*/ 0 w 4008124"/>
              <a:gd name="connsiteY24" fmla="*/ 1059656 h 1745456"/>
              <a:gd name="connsiteX25" fmla="*/ 17699 w 4008124"/>
              <a:gd name="connsiteY25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4003445 w 4008124"/>
              <a:gd name="connsiteY10" fmla="*/ 1321594 h 1745456"/>
              <a:gd name="connsiteX11" fmla="*/ 4005720 w 4008124"/>
              <a:gd name="connsiteY11" fmla="*/ 1745456 h 1745456"/>
              <a:gd name="connsiteX12" fmla="*/ 1683573 w 4008124"/>
              <a:gd name="connsiteY12" fmla="*/ 1364456 h 1745456"/>
              <a:gd name="connsiteX13" fmla="*/ 1559623 w 4008124"/>
              <a:gd name="connsiteY13" fmla="*/ 1333500 h 1745456"/>
              <a:gd name="connsiteX14" fmla="*/ 1518781 w 4008124"/>
              <a:gd name="connsiteY14" fmla="*/ 1352549 h 1745456"/>
              <a:gd name="connsiteX15" fmla="*/ 1374010 w 4008124"/>
              <a:gd name="connsiteY15" fmla="*/ 1283494 h 1745456"/>
              <a:gd name="connsiteX16" fmla="*/ 1200254 w 4008124"/>
              <a:gd name="connsiteY16" fmla="*/ 1235869 h 1745456"/>
              <a:gd name="connsiteX17" fmla="*/ 1036437 w 4008124"/>
              <a:gd name="connsiteY17" fmla="*/ 1197770 h 1745456"/>
              <a:gd name="connsiteX18" fmla="*/ 955799 w 4008124"/>
              <a:gd name="connsiteY18" fmla="*/ 1207294 h 1745456"/>
              <a:gd name="connsiteX19" fmla="*/ 850230 w 4008124"/>
              <a:gd name="connsiteY19" fmla="*/ 1188244 h 1745456"/>
              <a:gd name="connsiteX20" fmla="*/ 694909 w 4008124"/>
              <a:gd name="connsiteY20" fmla="*/ 1126331 h 1745456"/>
              <a:gd name="connsiteX21" fmla="*/ 528761 w 4008124"/>
              <a:gd name="connsiteY21" fmla="*/ 1031081 h 1745456"/>
              <a:gd name="connsiteX22" fmla="*/ 333374 w 4008124"/>
              <a:gd name="connsiteY22" fmla="*/ 1028700 h 1745456"/>
              <a:gd name="connsiteX23" fmla="*/ 173135 w 4008124"/>
              <a:gd name="connsiteY23" fmla="*/ 1083470 h 1745456"/>
              <a:gd name="connsiteX24" fmla="*/ 0 w 4008124"/>
              <a:gd name="connsiteY24" fmla="*/ 1059656 h 1745456"/>
              <a:gd name="connsiteX25" fmla="*/ 17699 w 4008124"/>
              <a:gd name="connsiteY25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780502 w 4008124"/>
              <a:gd name="connsiteY10" fmla="*/ 1271586 h 1745456"/>
              <a:gd name="connsiteX11" fmla="*/ 4003445 w 4008124"/>
              <a:gd name="connsiteY11" fmla="*/ 1321594 h 1745456"/>
              <a:gd name="connsiteX12" fmla="*/ 4005720 w 4008124"/>
              <a:gd name="connsiteY12" fmla="*/ 1745456 h 1745456"/>
              <a:gd name="connsiteX13" fmla="*/ 1683573 w 4008124"/>
              <a:gd name="connsiteY13" fmla="*/ 1364456 h 1745456"/>
              <a:gd name="connsiteX14" fmla="*/ 1559623 w 4008124"/>
              <a:gd name="connsiteY14" fmla="*/ 1333500 h 1745456"/>
              <a:gd name="connsiteX15" fmla="*/ 1518781 w 4008124"/>
              <a:gd name="connsiteY15" fmla="*/ 1352549 h 1745456"/>
              <a:gd name="connsiteX16" fmla="*/ 1374010 w 4008124"/>
              <a:gd name="connsiteY16" fmla="*/ 1283494 h 1745456"/>
              <a:gd name="connsiteX17" fmla="*/ 1200254 w 4008124"/>
              <a:gd name="connsiteY17" fmla="*/ 1235869 h 1745456"/>
              <a:gd name="connsiteX18" fmla="*/ 1036437 w 4008124"/>
              <a:gd name="connsiteY18" fmla="*/ 1197770 h 1745456"/>
              <a:gd name="connsiteX19" fmla="*/ 955799 w 4008124"/>
              <a:gd name="connsiteY19" fmla="*/ 1207294 h 1745456"/>
              <a:gd name="connsiteX20" fmla="*/ 850230 w 4008124"/>
              <a:gd name="connsiteY20" fmla="*/ 1188244 h 1745456"/>
              <a:gd name="connsiteX21" fmla="*/ 694909 w 4008124"/>
              <a:gd name="connsiteY21" fmla="*/ 1126331 h 1745456"/>
              <a:gd name="connsiteX22" fmla="*/ 528761 w 4008124"/>
              <a:gd name="connsiteY22" fmla="*/ 1031081 h 1745456"/>
              <a:gd name="connsiteX23" fmla="*/ 333374 w 4008124"/>
              <a:gd name="connsiteY23" fmla="*/ 1028700 h 1745456"/>
              <a:gd name="connsiteX24" fmla="*/ 173135 w 4008124"/>
              <a:gd name="connsiteY24" fmla="*/ 1083470 h 1745456"/>
              <a:gd name="connsiteX25" fmla="*/ 0 w 4008124"/>
              <a:gd name="connsiteY25" fmla="*/ 1059656 h 1745456"/>
              <a:gd name="connsiteX26" fmla="*/ 17699 w 4008124"/>
              <a:gd name="connsiteY26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782873 w 4008124"/>
              <a:gd name="connsiteY10" fmla="*/ 1264442 h 1745456"/>
              <a:gd name="connsiteX11" fmla="*/ 4003445 w 4008124"/>
              <a:gd name="connsiteY11" fmla="*/ 1321594 h 1745456"/>
              <a:gd name="connsiteX12" fmla="*/ 4005720 w 4008124"/>
              <a:gd name="connsiteY12" fmla="*/ 1745456 h 1745456"/>
              <a:gd name="connsiteX13" fmla="*/ 1683573 w 4008124"/>
              <a:gd name="connsiteY13" fmla="*/ 1364456 h 1745456"/>
              <a:gd name="connsiteX14" fmla="*/ 1559623 w 4008124"/>
              <a:gd name="connsiteY14" fmla="*/ 1333500 h 1745456"/>
              <a:gd name="connsiteX15" fmla="*/ 1518781 w 4008124"/>
              <a:gd name="connsiteY15" fmla="*/ 1352549 h 1745456"/>
              <a:gd name="connsiteX16" fmla="*/ 1374010 w 4008124"/>
              <a:gd name="connsiteY16" fmla="*/ 1283494 h 1745456"/>
              <a:gd name="connsiteX17" fmla="*/ 1200254 w 4008124"/>
              <a:gd name="connsiteY17" fmla="*/ 1235869 h 1745456"/>
              <a:gd name="connsiteX18" fmla="*/ 1036437 w 4008124"/>
              <a:gd name="connsiteY18" fmla="*/ 1197770 h 1745456"/>
              <a:gd name="connsiteX19" fmla="*/ 955799 w 4008124"/>
              <a:gd name="connsiteY19" fmla="*/ 1207294 h 1745456"/>
              <a:gd name="connsiteX20" fmla="*/ 850230 w 4008124"/>
              <a:gd name="connsiteY20" fmla="*/ 1188244 h 1745456"/>
              <a:gd name="connsiteX21" fmla="*/ 694909 w 4008124"/>
              <a:gd name="connsiteY21" fmla="*/ 1126331 h 1745456"/>
              <a:gd name="connsiteX22" fmla="*/ 528761 w 4008124"/>
              <a:gd name="connsiteY22" fmla="*/ 1031081 h 1745456"/>
              <a:gd name="connsiteX23" fmla="*/ 333374 w 4008124"/>
              <a:gd name="connsiteY23" fmla="*/ 1028700 h 1745456"/>
              <a:gd name="connsiteX24" fmla="*/ 173135 w 4008124"/>
              <a:gd name="connsiteY24" fmla="*/ 1083470 h 1745456"/>
              <a:gd name="connsiteX25" fmla="*/ 0 w 4008124"/>
              <a:gd name="connsiteY25" fmla="*/ 1059656 h 1745456"/>
              <a:gd name="connsiteX26" fmla="*/ 17699 w 4008124"/>
              <a:gd name="connsiteY26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782873 w 4008124"/>
              <a:gd name="connsiteY10" fmla="*/ 1264442 h 1745456"/>
              <a:gd name="connsiteX11" fmla="*/ 4003445 w 4008124"/>
              <a:gd name="connsiteY11" fmla="*/ 1338263 h 1745456"/>
              <a:gd name="connsiteX12" fmla="*/ 4005720 w 4008124"/>
              <a:gd name="connsiteY12" fmla="*/ 1745456 h 1745456"/>
              <a:gd name="connsiteX13" fmla="*/ 1683573 w 4008124"/>
              <a:gd name="connsiteY13" fmla="*/ 1364456 h 1745456"/>
              <a:gd name="connsiteX14" fmla="*/ 1559623 w 4008124"/>
              <a:gd name="connsiteY14" fmla="*/ 1333500 h 1745456"/>
              <a:gd name="connsiteX15" fmla="*/ 1518781 w 4008124"/>
              <a:gd name="connsiteY15" fmla="*/ 1352549 h 1745456"/>
              <a:gd name="connsiteX16" fmla="*/ 1374010 w 4008124"/>
              <a:gd name="connsiteY16" fmla="*/ 1283494 h 1745456"/>
              <a:gd name="connsiteX17" fmla="*/ 1200254 w 4008124"/>
              <a:gd name="connsiteY17" fmla="*/ 1235869 h 1745456"/>
              <a:gd name="connsiteX18" fmla="*/ 1036437 w 4008124"/>
              <a:gd name="connsiteY18" fmla="*/ 1197770 h 1745456"/>
              <a:gd name="connsiteX19" fmla="*/ 955799 w 4008124"/>
              <a:gd name="connsiteY19" fmla="*/ 1207294 h 1745456"/>
              <a:gd name="connsiteX20" fmla="*/ 850230 w 4008124"/>
              <a:gd name="connsiteY20" fmla="*/ 1188244 h 1745456"/>
              <a:gd name="connsiteX21" fmla="*/ 694909 w 4008124"/>
              <a:gd name="connsiteY21" fmla="*/ 1126331 h 1745456"/>
              <a:gd name="connsiteX22" fmla="*/ 528761 w 4008124"/>
              <a:gd name="connsiteY22" fmla="*/ 1031081 h 1745456"/>
              <a:gd name="connsiteX23" fmla="*/ 333374 w 4008124"/>
              <a:gd name="connsiteY23" fmla="*/ 1028700 h 1745456"/>
              <a:gd name="connsiteX24" fmla="*/ 173135 w 4008124"/>
              <a:gd name="connsiteY24" fmla="*/ 1083470 h 1745456"/>
              <a:gd name="connsiteX25" fmla="*/ 0 w 4008124"/>
              <a:gd name="connsiteY25" fmla="*/ 1059656 h 1745456"/>
              <a:gd name="connsiteX26" fmla="*/ 17699 w 4008124"/>
              <a:gd name="connsiteY26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204178 w 4008124"/>
              <a:gd name="connsiteY10" fmla="*/ 1145380 h 1745456"/>
              <a:gd name="connsiteX11" fmla="*/ 3782873 w 4008124"/>
              <a:gd name="connsiteY11" fmla="*/ 1264442 h 1745456"/>
              <a:gd name="connsiteX12" fmla="*/ 4003445 w 4008124"/>
              <a:gd name="connsiteY12" fmla="*/ 1338263 h 1745456"/>
              <a:gd name="connsiteX13" fmla="*/ 4005720 w 4008124"/>
              <a:gd name="connsiteY13" fmla="*/ 1745456 h 1745456"/>
              <a:gd name="connsiteX14" fmla="*/ 1683573 w 4008124"/>
              <a:gd name="connsiteY14" fmla="*/ 1364456 h 1745456"/>
              <a:gd name="connsiteX15" fmla="*/ 1559623 w 4008124"/>
              <a:gd name="connsiteY15" fmla="*/ 1333500 h 1745456"/>
              <a:gd name="connsiteX16" fmla="*/ 1518781 w 4008124"/>
              <a:gd name="connsiteY16" fmla="*/ 1352549 h 1745456"/>
              <a:gd name="connsiteX17" fmla="*/ 1374010 w 4008124"/>
              <a:gd name="connsiteY17" fmla="*/ 1283494 h 1745456"/>
              <a:gd name="connsiteX18" fmla="*/ 1200254 w 4008124"/>
              <a:gd name="connsiteY18" fmla="*/ 1235869 h 1745456"/>
              <a:gd name="connsiteX19" fmla="*/ 1036437 w 4008124"/>
              <a:gd name="connsiteY19" fmla="*/ 1197770 h 1745456"/>
              <a:gd name="connsiteX20" fmla="*/ 955799 w 4008124"/>
              <a:gd name="connsiteY20" fmla="*/ 1207294 h 1745456"/>
              <a:gd name="connsiteX21" fmla="*/ 850230 w 4008124"/>
              <a:gd name="connsiteY21" fmla="*/ 1188244 h 1745456"/>
              <a:gd name="connsiteX22" fmla="*/ 694909 w 4008124"/>
              <a:gd name="connsiteY22" fmla="*/ 1126331 h 1745456"/>
              <a:gd name="connsiteX23" fmla="*/ 528761 w 4008124"/>
              <a:gd name="connsiteY23" fmla="*/ 1031081 h 1745456"/>
              <a:gd name="connsiteX24" fmla="*/ 333374 w 4008124"/>
              <a:gd name="connsiteY24" fmla="*/ 1028700 h 1745456"/>
              <a:gd name="connsiteX25" fmla="*/ 173135 w 4008124"/>
              <a:gd name="connsiteY25" fmla="*/ 1083470 h 1745456"/>
              <a:gd name="connsiteX26" fmla="*/ 0 w 4008124"/>
              <a:gd name="connsiteY26" fmla="*/ 1059656 h 1745456"/>
              <a:gd name="connsiteX27" fmla="*/ 17699 w 4008124"/>
              <a:gd name="connsiteY27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204178 w 4008124"/>
              <a:gd name="connsiteY10" fmla="*/ 1145380 h 1745456"/>
              <a:gd name="connsiteX11" fmla="*/ 3782873 w 4008124"/>
              <a:gd name="connsiteY11" fmla="*/ 1264442 h 1745456"/>
              <a:gd name="connsiteX12" fmla="*/ 3403401 w 4008124"/>
              <a:gd name="connsiteY12" fmla="*/ 1185861 h 1745456"/>
              <a:gd name="connsiteX13" fmla="*/ 4003445 w 4008124"/>
              <a:gd name="connsiteY13" fmla="*/ 1338263 h 1745456"/>
              <a:gd name="connsiteX14" fmla="*/ 4005720 w 4008124"/>
              <a:gd name="connsiteY14" fmla="*/ 1745456 h 1745456"/>
              <a:gd name="connsiteX15" fmla="*/ 1683573 w 4008124"/>
              <a:gd name="connsiteY15" fmla="*/ 1364456 h 1745456"/>
              <a:gd name="connsiteX16" fmla="*/ 1559623 w 4008124"/>
              <a:gd name="connsiteY16" fmla="*/ 1333500 h 1745456"/>
              <a:gd name="connsiteX17" fmla="*/ 1518781 w 4008124"/>
              <a:gd name="connsiteY17" fmla="*/ 1352549 h 1745456"/>
              <a:gd name="connsiteX18" fmla="*/ 1374010 w 4008124"/>
              <a:gd name="connsiteY18" fmla="*/ 1283494 h 1745456"/>
              <a:gd name="connsiteX19" fmla="*/ 1200254 w 4008124"/>
              <a:gd name="connsiteY19" fmla="*/ 1235869 h 1745456"/>
              <a:gd name="connsiteX20" fmla="*/ 1036437 w 4008124"/>
              <a:gd name="connsiteY20" fmla="*/ 1197770 h 1745456"/>
              <a:gd name="connsiteX21" fmla="*/ 955799 w 4008124"/>
              <a:gd name="connsiteY21" fmla="*/ 1207294 h 1745456"/>
              <a:gd name="connsiteX22" fmla="*/ 850230 w 4008124"/>
              <a:gd name="connsiteY22" fmla="*/ 1188244 h 1745456"/>
              <a:gd name="connsiteX23" fmla="*/ 694909 w 4008124"/>
              <a:gd name="connsiteY23" fmla="*/ 1126331 h 1745456"/>
              <a:gd name="connsiteX24" fmla="*/ 528761 w 4008124"/>
              <a:gd name="connsiteY24" fmla="*/ 1031081 h 1745456"/>
              <a:gd name="connsiteX25" fmla="*/ 333374 w 4008124"/>
              <a:gd name="connsiteY25" fmla="*/ 1028700 h 1745456"/>
              <a:gd name="connsiteX26" fmla="*/ 173135 w 4008124"/>
              <a:gd name="connsiteY26" fmla="*/ 1083470 h 1745456"/>
              <a:gd name="connsiteX27" fmla="*/ 0 w 4008124"/>
              <a:gd name="connsiteY27" fmla="*/ 1059656 h 1745456"/>
              <a:gd name="connsiteX28" fmla="*/ 17699 w 4008124"/>
              <a:gd name="connsiteY28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204178 w 4008124"/>
              <a:gd name="connsiteY10" fmla="*/ 1145380 h 1745456"/>
              <a:gd name="connsiteX11" fmla="*/ 3782873 w 4008124"/>
              <a:gd name="connsiteY11" fmla="*/ 1264442 h 1745456"/>
              <a:gd name="connsiteX12" fmla="*/ 3403401 w 4008124"/>
              <a:gd name="connsiteY12" fmla="*/ 1185861 h 1745456"/>
              <a:gd name="connsiteX13" fmla="*/ 3780502 w 4008124"/>
              <a:gd name="connsiteY13" fmla="*/ 1285874 h 1745456"/>
              <a:gd name="connsiteX14" fmla="*/ 4003445 w 4008124"/>
              <a:gd name="connsiteY14" fmla="*/ 1338263 h 1745456"/>
              <a:gd name="connsiteX15" fmla="*/ 4005720 w 4008124"/>
              <a:gd name="connsiteY15" fmla="*/ 1745456 h 1745456"/>
              <a:gd name="connsiteX16" fmla="*/ 1683573 w 4008124"/>
              <a:gd name="connsiteY16" fmla="*/ 1364456 h 1745456"/>
              <a:gd name="connsiteX17" fmla="*/ 1559623 w 4008124"/>
              <a:gd name="connsiteY17" fmla="*/ 1333500 h 1745456"/>
              <a:gd name="connsiteX18" fmla="*/ 1518781 w 4008124"/>
              <a:gd name="connsiteY18" fmla="*/ 1352549 h 1745456"/>
              <a:gd name="connsiteX19" fmla="*/ 1374010 w 4008124"/>
              <a:gd name="connsiteY19" fmla="*/ 1283494 h 1745456"/>
              <a:gd name="connsiteX20" fmla="*/ 1200254 w 4008124"/>
              <a:gd name="connsiteY20" fmla="*/ 1235869 h 1745456"/>
              <a:gd name="connsiteX21" fmla="*/ 1036437 w 4008124"/>
              <a:gd name="connsiteY21" fmla="*/ 1197770 h 1745456"/>
              <a:gd name="connsiteX22" fmla="*/ 955799 w 4008124"/>
              <a:gd name="connsiteY22" fmla="*/ 1207294 h 1745456"/>
              <a:gd name="connsiteX23" fmla="*/ 850230 w 4008124"/>
              <a:gd name="connsiteY23" fmla="*/ 1188244 h 1745456"/>
              <a:gd name="connsiteX24" fmla="*/ 694909 w 4008124"/>
              <a:gd name="connsiteY24" fmla="*/ 1126331 h 1745456"/>
              <a:gd name="connsiteX25" fmla="*/ 528761 w 4008124"/>
              <a:gd name="connsiteY25" fmla="*/ 1031081 h 1745456"/>
              <a:gd name="connsiteX26" fmla="*/ 333374 w 4008124"/>
              <a:gd name="connsiteY26" fmla="*/ 1028700 h 1745456"/>
              <a:gd name="connsiteX27" fmla="*/ 173135 w 4008124"/>
              <a:gd name="connsiteY27" fmla="*/ 1083470 h 1745456"/>
              <a:gd name="connsiteX28" fmla="*/ 0 w 4008124"/>
              <a:gd name="connsiteY28" fmla="*/ 1059656 h 1745456"/>
              <a:gd name="connsiteX29" fmla="*/ 17699 w 4008124"/>
              <a:gd name="connsiteY29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204178 w 4008124"/>
              <a:gd name="connsiteY10" fmla="*/ 1145380 h 1745456"/>
              <a:gd name="connsiteX11" fmla="*/ 3782873 w 4008124"/>
              <a:gd name="connsiteY11" fmla="*/ 1264442 h 1745456"/>
              <a:gd name="connsiteX12" fmla="*/ 3403401 w 4008124"/>
              <a:gd name="connsiteY12" fmla="*/ 1185861 h 1745456"/>
              <a:gd name="connsiteX13" fmla="*/ 3780502 w 4008124"/>
              <a:gd name="connsiteY13" fmla="*/ 1259680 h 1745456"/>
              <a:gd name="connsiteX14" fmla="*/ 4003445 w 4008124"/>
              <a:gd name="connsiteY14" fmla="*/ 1338263 h 1745456"/>
              <a:gd name="connsiteX15" fmla="*/ 4005720 w 4008124"/>
              <a:gd name="connsiteY15" fmla="*/ 1745456 h 1745456"/>
              <a:gd name="connsiteX16" fmla="*/ 1683573 w 4008124"/>
              <a:gd name="connsiteY16" fmla="*/ 1364456 h 1745456"/>
              <a:gd name="connsiteX17" fmla="*/ 1559623 w 4008124"/>
              <a:gd name="connsiteY17" fmla="*/ 1333500 h 1745456"/>
              <a:gd name="connsiteX18" fmla="*/ 1518781 w 4008124"/>
              <a:gd name="connsiteY18" fmla="*/ 1352549 h 1745456"/>
              <a:gd name="connsiteX19" fmla="*/ 1374010 w 4008124"/>
              <a:gd name="connsiteY19" fmla="*/ 1283494 h 1745456"/>
              <a:gd name="connsiteX20" fmla="*/ 1200254 w 4008124"/>
              <a:gd name="connsiteY20" fmla="*/ 1235869 h 1745456"/>
              <a:gd name="connsiteX21" fmla="*/ 1036437 w 4008124"/>
              <a:gd name="connsiteY21" fmla="*/ 1197770 h 1745456"/>
              <a:gd name="connsiteX22" fmla="*/ 955799 w 4008124"/>
              <a:gd name="connsiteY22" fmla="*/ 1207294 h 1745456"/>
              <a:gd name="connsiteX23" fmla="*/ 850230 w 4008124"/>
              <a:gd name="connsiteY23" fmla="*/ 1188244 h 1745456"/>
              <a:gd name="connsiteX24" fmla="*/ 694909 w 4008124"/>
              <a:gd name="connsiteY24" fmla="*/ 1126331 h 1745456"/>
              <a:gd name="connsiteX25" fmla="*/ 528761 w 4008124"/>
              <a:gd name="connsiteY25" fmla="*/ 1031081 h 1745456"/>
              <a:gd name="connsiteX26" fmla="*/ 333374 w 4008124"/>
              <a:gd name="connsiteY26" fmla="*/ 1028700 h 1745456"/>
              <a:gd name="connsiteX27" fmla="*/ 173135 w 4008124"/>
              <a:gd name="connsiteY27" fmla="*/ 1083470 h 1745456"/>
              <a:gd name="connsiteX28" fmla="*/ 0 w 4008124"/>
              <a:gd name="connsiteY28" fmla="*/ 1059656 h 1745456"/>
              <a:gd name="connsiteX29" fmla="*/ 17699 w 4008124"/>
              <a:gd name="connsiteY29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204178 w 4008124"/>
              <a:gd name="connsiteY10" fmla="*/ 1145380 h 1745456"/>
              <a:gd name="connsiteX11" fmla="*/ 3782873 w 4008124"/>
              <a:gd name="connsiteY11" fmla="*/ 1264442 h 1745456"/>
              <a:gd name="connsiteX12" fmla="*/ 3403401 w 4008124"/>
              <a:gd name="connsiteY12" fmla="*/ 1195386 h 1745456"/>
              <a:gd name="connsiteX13" fmla="*/ 3780502 w 4008124"/>
              <a:gd name="connsiteY13" fmla="*/ 1259680 h 1745456"/>
              <a:gd name="connsiteX14" fmla="*/ 4003445 w 4008124"/>
              <a:gd name="connsiteY14" fmla="*/ 1338263 h 1745456"/>
              <a:gd name="connsiteX15" fmla="*/ 4005720 w 4008124"/>
              <a:gd name="connsiteY15" fmla="*/ 1745456 h 1745456"/>
              <a:gd name="connsiteX16" fmla="*/ 1683573 w 4008124"/>
              <a:gd name="connsiteY16" fmla="*/ 1364456 h 1745456"/>
              <a:gd name="connsiteX17" fmla="*/ 1559623 w 4008124"/>
              <a:gd name="connsiteY17" fmla="*/ 1333500 h 1745456"/>
              <a:gd name="connsiteX18" fmla="*/ 1518781 w 4008124"/>
              <a:gd name="connsiteY18" fmla="*/ 1352549 h 1745456"/>
              <a:gd name="connsiteX19" fmla="*/ 1374010 w 4008124"/>
              <a:gd name="connsiteY19" fmla="*/ 1283494 h 1745456"/>
              <a:gd name="connsiteX20" fmla="*/ 1200254 w 4008124"/>
              <a:gd name="connsiteY20" fmla="*/ 1235869 h 1745456"/>
              <a:gd name="connsiteX21" fmla="*/ 1036437 w 4008124"/>
              <a:gd name="connsiteY21" fmla="*/ 1197770 h 1745456"/>
              <a:gd name="connsiteX22" fmla="*/ 955799 w 4008124"/>
              <a:gd name="connsiteY22" fmla="*/ 1207294 h 1745456"/>
              <a:gd name="connsiteX23" fmla="*/ 850230 w 4008124"/>
              <a:gd name="connsiteY23" fmla="*/ 1188244 h 1745456"/>
              <a:gd name="connsiteX24" fmla="*/ 694909 w 4008124"/>
              <a:gd name="connsiteY24" fmla="*/ 1126331 h 1745456"/>
              <a:gd name="connsiteX25" fmla="*/ 528761 w 4008124"/>
              <a:gd name="connsiteY25" fmla="*/ 1031081 h 1745456"/>
              <a:gd name="connsiteX26" fmla="*/ 333374 w 4008124"/>
              <a:gd name="connsiteY26" fmla="*/ 1028700 h 1745456"/>
              <a:gd name="connsiteX27" fmla="*/ 173135 w 4008124"/>
              <a:gd name="connsiteY27" fmla="*/ 1083470 h 1745456"/>
              <a:gd name="connsiteX28" fmla="*/ 0 w 4008124"/>
              <a:gd name="connsiteY28" fmla="*/ 1059656 h 1745456"/>
              <a:gd name="connsiteX29" fmla="*/ 17699 w 4008124"/>
              <a:gd name="connsiteY29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168602 w 4008124"/>
              <a:gd name="connsiteY10" fmla="*/ 1164430 h 1745456"/>
              <a:gd name="connsiteX11" fmla="*/ 3782873 w 4008124"/>
              <a:gd name="connsiteY11" fmla="*/ 1264442 h 1745456"/>
              <a:gd name="connsiteX12" fmla="*/ 3403401 w 4008124"/>
              <a:gd name="connsiteY12" fmla="*/ 1195386 h 1745456"/>
              <a:gd name="connsiteX13" fmla="*/ 3780502 w 4008124"/>
              <a:gd name="connsiteY13" fmla="*/ 1259680 h 1745456"/>
              <a:gd name="connsiteX14" fmla="*/ 4003445 w 4008124"/>
              <a:gd name="connsiteY14" fmla="*/ 1338263 h 1745456"/>
              <a:gd name="connsiteX15" fmla="*/ 4005720 w 4008124"/>
              <a:gd name="connsiteY15" fmla="*/ 1745456 h 1745456"/>
              <a:gd name="connsiteX16" fmla="*/ 1683573 w 4008124"/>
              <a:gd name="connsiteY16" fmla="*/ 1364456 h 1745456"/>
              <a:gd name="connsiteX17" fmla="*/ 1559623 w 4008124"/>
              <a:gd name="connsiteY17" fmla="*/ 1333500 h 1745456"/>
              <a:gd name="connsiteX18" fmla="*/ 1518781 w 4008124"/>
              <a:gd name="connsiteY18" fmla="*/ 1352549 h 1745456"/>
              <a:gd name="connsiteX19" fmla="*/ 1374010 w 4008124"/>
              <a:gd name="connsiteY19" fmla="*/ 1283494 h 1745456"/>
              <a:gd name="connsiteX20" fmla="*/ 1200254 w 4008124"/>
              <a:gd name="connsiteY20" fmla="*/ 1235869 h 1745456"/>
              <a:gd name="connsiteX21" fmla="*/ 1036437 w 4008124"/>
              <a:gd name="connsiteY21" fmla="*/ 1197770 h 1745456"/>
              <a:gd name="connsiteX22" fmla="*/ 955799 w 4008124"/>
              <a:gd name="connsiteY22" fmla="*/ 1207294 h 1745456"/>
              <a:gd name="connsiteX23" fmla="*/ 850230 w 4008124"/>
              <a:gd name="connsiteY23" fmla="*/ 1188244 h 1745456"/>
              <a:gd name="connsiteX24" fmla="*/ 694909 w 4008124"/>
              <a:gd name="connsiteY24" fmla="*/ 1126331 h 1745456"/>
              <a:gd name="connsiteX25" fmla="*/ 528761 w 4008124"/>
              <a:gd name="connsiteY25" fmla="*/ 1031081 h 1745456"/>
              <a:gd name="connsiteX26" fmla="*/ 333374 w 4008124"/>
              <a:gd name="connsiteY26" fmla="*/ 1028700 h 1745456"/>
              <a:gd name="connsiteX27" fmla="*/ 173135 w 4008124"/>
              <a:gd name="connsiteY27" fmla="*/ 1083470 h 1745456"/>
              <a:gd name="connsiteX28" fmla="*/ 0 w 4008124"/>
              <a:gd name="connsiteY28" fmla="*/ 1059656 h 1745456"/>
              <a:gd name="connsiteX29" fmla="*/ 17699 w 4008124"/>
              <a:gd name="connsiteY29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168602 w 4008124"/>
              <a:gd name="connsiteY10" fmla="*/ 1164430 h 1745456"/>
              <a:gd name="connsiteX11" fmla="*/ 3782873 w 4008124"/>
              <a:gd name="connsiteY11" fmla="*/ 1264442 h 1745456"/>
              <a:gd name="connsiteX12" fmla="*/ 3403401 w 4008124"/>
              <a:gd name="connsiteY12" fmla="*/ 1195386 h 1745456"/>
              <a:gd name="connsiteX13" fmla="*/ 3780502 w 4008124"/>
              <a:gd name="connsiteY13" fmla="*/ 1259680 h 1745456"/>
              <a:gd name="connsiteX14" fmla="*/ 4003445 w 4008124"/>
              <a:gd name="connsiteY14" fmla="*/ 1338263 h 1745456"/>
              <a:gd name="connsiteX15" fmla="*/ 4005720 w 4008124"/>
              <a:gd name="connsiteY15" fmla="*/ 1745456 h 1745456"/>
              <a:gd name="connsiteX16" fmla="*/ 1683573 w 4008124"/>
              <a:gd name="connsiteY16" fmla="*/ 1364456 h 1745456"/>
              <a:gd name="connsiteX17" fmla="*/ 1559623 w 4008124"/>
              <a:gd name="connsiteY17" fmla="*/ 1333500 h 1745456"/>
              <a:gd name="connsiteX18" fmla="*/ 1518781 w 4008124"/>
              <a:gd name="connsiteY18" fmla="*/ 1352549 h 1745456"/>
              <a:gd name="connsiteX19" fmla="*/ 1374010 w 4008124"/>
              <a:gd name="connsiteY19" fmla="*/ 1283494 h 1745456"/>
              <a:gd name="connsiteX20" fmla="*/ 1200254 w 4008124"/>
              <a:gd name="connsiteY20" fmla="*/ 1235869 h 1745456"/>
              <a:gd name="connsiteX21" fmla="*/ 1036437 w 4008124"/>
              <a:gd name="connsiteY21" fmla="*/ 1197770 h 1745456"/>
              <a:gd name="connsiteX22" fmla="*/ 955799 w 4008124"/>
              <a:gd name="connsiteY22" fmla="*/ 1207294 h 1745456"/>
              <a:gd name="connsiteX23" fmla="*/ 850230 w 4008124"/>
              <a:gd name="connsiteY23" fmla="*/ 1188244 h 1745456"/>
              <a:gd name="connsiteX24" fmla="*/ 694909 w 4008124"/>
              <a:gd name="connsiteY24" fmla="*/ 1126331 h 1745456"/>
              <a:gd name="connsiteX25" fmla="*/ 528761 w 4008124"/>
              <a:gd name="connsiteY25" fmla="*/ 1031081 h 1745456"/>
              <a:gd name="connsiteX26" fmla="*/ 333374 w 4008124"/>
              <a:gd name="connsiteY26" fmla="*/ 1028700 h 1745456"/>
              <a:gd name="connsiteX27" fmla="*/ 173135 w 4008124"/>
              <a:gd name="connsiteY27" fmla="*/ 1083470 h 1745456"/>
              <a:gd name="connsiteX28" fmla="*/ 0 w 4008124"/>
              <a:gd name="connsiteY28" fmla="*/ 1059656 h 1745456"/>
              <a:gd name="connsiteX29" fmla="*/ 17699 w 4008124"/>
              <a:gd name="connsiteY29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3168602 w 4008124"/>
              <a:gd name="connsiteY10" fmla="*/ 1164430 h 1745456"/>
              <a:gd name="connsiteX11" fmla="*/ 2983608 w 4008124"/>
              <a:gd name="connsiteY11" fmla="*/ 1119186 h 1745456"/>
              <a:gd name="connsiteX12" fmla="*/ 3782873 w 4008124"/>
              <a:gd name="connsiteY12" fmla="*/ 1264442 h 1745456"/>
              <a:gd name="connsiteX13" fmla="*/ 3403401 w 4008124"/>
              <a:gd name="connsiteY13" fmla="*/ 1195386 h 1745456"/>
              <a:gd name="connsiteX14" fmla="*/ 3780502 w 4008124"/>
              <a:gd name="connsiteY14" fmla="*/ 1259680 h 1745456"/>
              <a:gd name="connsiteX15" fmla="*/ 4003445 w 4008124"/>
              <a:gd name="connsiteY15" fmla="*/ 1338263 h 1745456"/>
              <a:gd name="connsiteX16" fmla="*/ 4005720 w 4008124"/>
              <a:gd name="connsiteY16" fmla="*/ 1745456 h 1745456"/>
              <a:gd name="connsiteX17" fmla="*/ 1683573 w 4008124"/>
              <a:gd name="connsiteY17" fmla="*/ 1364456 h 1745456"/>
              <a:gd name="connsiteX18" fmla="*/ 1559623 w 4008124"/>
              <a:gd name="connsiteY18" fmla="*/ 1333500 h 1745456"/>
              <a:gd name="connsiteX19" fmla="*/ 1518781 w 4008124"/>
              <a:gd name="connsiteY19" fmla="*/ 1352549 h 1745456"/>
              <a:gd name="connsiteX20" fmla="*/ 1374010 w 4008124"/>
              <a:gd name="connsiteY20" fmla="*/ 1283494 h 1745456"/>
              <a:gd name="connsiteX21" fmla="*/ 1200254 w 4008124"/>
              <a:gd name="connsiteY21" fmla="*/ 1235869 h 1745456"/>
              <a:gd name="connsiteX22" fmla="*/ 1036437 w 4008124"/>
              <a:gd name="connsiteY22" fmla="*/ 1197770 h 1745456"/>
              <a:gd name="connsiteX23" fmla="*/ 955799 w 4008124"/>
              <a:gd name="connsiteY23" fmla="*/ 1207294 h 1745456"/>
              <a:gd name="connsiteX24" fmla="*/ 850230 w 4008124"/>
              <a:gd name="connsiteY24" fmla="*/ 1188244 h 1745456"/>
              <a:gd name="connsiteX25" fmla="*/ 694909 w 4008124"/>
              <a:gd name="connsiteY25" fmla="*/ 1126331 h 1745456"/>
              <a:gd name="connsiteX26" fmla="*/ 528761 w 4008124"/>
              <a:gd name="connsiteY26" fmla="*/ 1031081 h 1745456"/>
              <a:gd name="connsiteX27" fmla="*/ 333374 w 4008124"/>
              <a:gd name="connsiteY27" fmla="*/ 1028700 h 1745456"/>
              <a:gd name="connsiteX28" fmla="*/ 173135 w 4008124"/>
              <a:gd name="connsiteY28" fmla="*/ 1083470 h 1745456"/>
              <a:gd name="connsiteX29" fmla="*/ 0 w 4008124"/>
              <a:gd name="connsiteY29" fmla="*/ 1059656 h 1745456"/>
              <a:gd name="connsiteX30" fmla="*/ 17699 w 4008124"/>
              <a:gd name="connsiteY30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67783 w 4008124"/>
              <a:gd name="connsiteY10" fmla="*/ 1069180 h 1745456"/>
              <a:gd name="connsiteX11" fmla="*/ 3168602 w 4008124"/>
              <a:gd name="connsiteY11" fmla="*/ 1164430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48810 w 4008124"/>
              <a:gd name="connsiteY10" fmla="*/ 1092992 h 1745456"/>
              <a:gd name="connsiteX11" fmla="*/ 3168602 w 4008124"/>
              <a:gd name="connsiteY11" fmla="*/ 1164430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48810 w 4008124"/>
              <a:gd name="connsiteY10" fmla="*/ 1092992 h 1745456"/>
              <a:gd name="connsiteX11" fmla="*/ 2983608 w 4008124"/>
              <a:gd name="connsiteY11" fmla="*/ 1119186 h 1745456"/>
              <a:gd name="connsiteX12" fmla="*/ 3782873 w 4008124"/>
              <a:gd name="connsiteY12" fmla="*/ 1264442 h 1745456"/>
              <a:gd name="connsiteX13" fmla="*/ 3403401 w 4008124"/>
              <a:gd name="connsiteY13" fmla="*/ 1195386 h 1745456"/>
              <a:gd name="connsiteX14" fmla="*/ 3780502 w 4008124"/>
              <a:gd name="connsiteY14" fmla="*/ 1259680 h 1745456"/>
              <a:gd name="connsiteX15" fmla="*/ 4003445 w 4008124"/>
              <a:gd name="connsiteY15" fmla="*/ 1338263 h 1745456"/>
              <a:gd name="connsiteX16" fmla="*/ 4005720 w 4008124"/>
              <a:gd name="connsiteY16" fmla="*/ 1745456 h 1745456"/>
              <a:gd name="connsiteX17" fmla="*/ 1683573 w 4008124"/>
              <a:gd name="connsiteY17" fmla="*/ 1364456 h 1745456"/>
              <a:gd name="connsiteX18" fmla="*/ 1559623 w 4008124"/>
              <a:gd name="connsiteY18" fmla="*/ 1333500 h 1745456"/>
              <a:gd name="connsiteX19" fmla="*/ 1518781 w 4008124"/>
              <a:gd name="connsiteY19" fmla="*/ 1352549 h 1745456"/>
              <a:gd name="connsiteX20" fmla="*/ 1374010 w 4008124"/>
              <a:gd name="connsiteY20" fmla="*/ 1283494 h 1745456"/>
              <a:gd name="connsiteX21" fmla="*/ 1200254 w 4008124"/>
              <a:gd name="connsiteY21" fmla="*/ 1235869 h 1745456"/>
              <a:gd name="connsiteX22" fmla="*/ 1036437 w 4008124"/>
              <a:gd name="connsiteY22" fmla="*/ 1197770 h 1745456"/>
              <a:gd name="connsiteX23" fmla="*/ 955799 w 4008124"/>
              <a:gd name="connsiteY23" fmla="*/ 1207294 h 1745456"/>
              <a:gd name="connsiteX24" fmla="*/ 850230 w 4008124"/>
              <a:gd name="connsiteY24" fmla="*/ 1188244 h 1745456"/>
              <a:gd name="connsiteX25" fmla="*/ 694909 w 4008124"/>
              <a:gd name="connsiteY25" fmla="*/ 1126331 h 1745456"/>
              <a:gd name="connsiteX26" fmla="*/ 528761 w 4008124"/>
              <a:gd name="connsiteY26" fmla="*/ 1031081 h 1745456"/>
              <a:gd name="connsiteX27" fmla="*/ 333374 w 4008124"/>
              <a:gd name="connsiteY27" fmla="*/ 1028700 h 1745456"/>
              <a:gd name="connsiteX28" fmla="*/ 173135 w 4008124"/>
              <a:gd name="connsiteY28" fmla="*/ 1083470 h 1745456"/>
              <a:gd name="connsiteX29" fmla="*/ 0 w 4008124"/>
              <a:gd name="connsiteY29" fmla="*/ 1059656 h 1745456"/>
              <a:gd name="connsiteX30" fmla="*/ 17699 w 4008124"/>
              <a:gd name="connsiteY30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48810 w 4008124"/>
              <a:gd name="connsiteY10" fmla="*/ 1092992 h 1745456"/>
              <a:gd name="connsiteX11" fmla="*/ 2867395 w 4008124"/>
              <a:gd name="connsiteY11" fmla="*/ 1107280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48810 w 4008124"/>
              <a:gd name="connsiteY10" fmla="*/ 1092992 h 1745456"/>
              <a:gd name="connsiteX11" fmla="*/ 2869767 w 4008124"/>
              <a:gd name="connsiteY11" fmla="*/ 1100136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94648 w 4008124"/>
              <a:gd name="connsiteY9" fmla="*/ 1031080 h 1745456"/>
              <a:gd name="connsiteX10" fmla="*/ 2739323 w 4008124"/>
              <a:gd name="connsiteY10" fmla="*/ 1090611 h 1745456"/>
              <a:gd name="connsiteX11" fmla="*/ 2869767 w 4008124"/>
              <a:gd name="connsiteY11" fmla="*/ 1100136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656312 w 4008124"/>
              <a:gd name="connsiteY9" fmla="*/ 1064418 h 1745456"/>
              <a:gd name="connsiteX10" fmla="*/ 2739323 w 4008124"/>
              <a:gd name="connsiteY10" fmla="*/ 1090611 h 1745456"/>
              <a:gd name="connsiteX11" fmla="*/ 2869767 w 4008124"/>
              <a:gd name="connsiteY11" fmla="*/ 1100136 h 1745456"/>
              <a:gd name="connsiteX12" fmla="*/ 2983608 w 4008124"/>
              <a:gd name="connsiteY12" fmla="*/ 1119186 h 1745456"/>
              <a:gd name="connsiteX13" fmla="*/ 3782873 w 4008124"/>
              <a:gd name="connsiteY13" fmla="*/ 1264442 h 1745456"/>
              <a:gd name="connsiteX14" fmla="*/ 3403401 w 4008124"/>
              <a:gd name="connsiteY14" fmla="*/ 1195386 h 1745456"/>
              <a:gd name="connsiteX15" fmla="*/ 3780502 w 4008124"/>
              <a:gd name="connsiteY15" fmla="*/ 1259680 h 1745456"/>
              <a:gd name="connsiteX16" fmla="*/ 4003445 w 4008124"/>
              <a:gd name="connsiteY16" fmla="*/ 1338263 h 1745456"/>
              <a:gd name="connsiteX17" fmla="*/ 4005720 w 4008124"/>
              <a:gd name="connsiteY17" fmla="*/ 1745456 h 1745456"/>
              <a:gd name="connsiteX18" fmla="*/ 1683573 w 4008124"/>
              <a:gd name="connsiteY18" fmla="*/ 1364456 h 1745456"/>
              <a:gd name="connsiteX19" fmla="*/ 1559623 w 4008124"/>
              <a:gd name="connsiteY19" fmla="*/ 1333500 h 1745456"/>
              <a:gd name="connsiteX20" fmla="*/ 1518781 w 4008124"/>
              <a:gd name="connsiteY20" fmla="*/ 1352549 h 1745456"/>
              <a:gd name="connsiteX21" fmla="*/ 1374010 w 4008124"/>
              <a:gd name="connsiteY21" fmla="*/ 1283494 h 1745456"/>
              <a:gd name="connsiteX22" fmla="*/ 1200254 w 4008124"/>
              <a:gd name="connsiteY22" fmla="*/ 1235869 h 1745456"/>
              <a:gd name="connsiteX23" fmla="*/ 1036437 w 4008124"/>
              <a:gd name="connsiteY23" fmla="*/ 1197770 h 1745456"/>
              <a:gd name="connsiteX24" fmla="*/ 955799 w 4008124"/>
              <a:gd name="connsiteY24" fmla="*/ 1207294 h 1745456"/>
              <a:gd name="connsiteX25" fmla="*/ 850230 w 4008124"/>
              <a:gd name="connsiteY25" fmla="*/ 1188244 h 1745456"/>
              <a:gd name="connsiteX26" fmla="*/ 694909 w 4008124"/>
              <a:gd name="connsiteY26" fmla="*/ 1126331 h 1745456"/>
              <a:gd name="connsiteX27" fmla="*/ 528761 w 4008124"/>
              <a:gd name="connsiteY27" fmla="*/ 1031081 h 1745456"/>
              <a:gd name="connsiteX28" fmla="*/ 333374 w 4008124"/>
              <a:gd name="connsiteY28" fmla="*/ 1028700 h 1745456"/>
              <a:gd name="connsiteX29" fmla="*/ 173135 w 4008124"/>
              <a:gd name="connsiteY29" fmla="*/ 1083470 h 1745456"/>
              <a:gd name="connsiteX30" fmla="*/ 0 w 4008124"/>
              <a:gd name="connsiteY30" fmla="*/ 1059656 h 1745456"/>
              <a:gd name="connsiteX31" fmla="*/ 17699 w 4008124"/>
              <a:gd name="connsiteY31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75674 w 4008124"/>
              <a:gd name="connsiteY9" fmla="*/ 1028699 h 1745456"/>
              <a:gd name="connsiteX10" fmla="*/ 2656312 w 4008124"/>
              <a:gd name="connsiteY10" fmla="*/ 1064418 h 1745456"/>
              <a:gd name="connsiteX11" fmla="*/ 2739323 w 4008124"/>
              <a:gd name="connsiteY11" fmla="*/ 1090611 h 1745456"/>
              <a:gd name="connsiteX12" fmla="*/ 2869767 w 4008124"/>
              <a:gd name="connsiteY12" fmla="*/ 1100136 h 1745456"/>
              <a:gd name="connsiteX13" fmla="*/ 2983608 w 4008124"/>
              <a:gd name="connsiteY13" fmla="*/ 1119186 h 1745456"/>
              <a:gd name="connsiteX14" fmla="*/ 3782873 w 4008124"/>
              <a:gd name="connsiteY14" fmla="*/ 1264442 h 1745456"/>
              <a:gd name="connsiteX15" fmla="*/ 3403401 w 4008124"/>
              <a:gd name="connsiteY15" fmla="*/ 1195386 h 1745456"/>
              <a:gd name="connsiteX16" fmla="*/ 3780502 w 4008124"/>
              <a:gd name="connsiteY16" fmla="*/ 1259680 h 1745456"/>
              <a:gd name="connsiteX17" fmla="*/ 4003445 w 4008124"/>
              <a:gd name="connsiteY17" fmla="*/ 1338263 h 1745456"/>
              <a:gd name="connsiteX18" fmla="*/ 4005720 w 4008124"/>
              <a:gd name="connsiteY18" fmla="*/ 1745456 h 1745456"/>
              <a:gd name="connsiteX19" fmla="*/ 1683573 w 4008124"/>
              <a:gd name="connsiteY19" fmla="*/ 1364456 h 1745456"/>
              <a:gd name="connsiteX20" fmla="*/ 1559623 w 4008124"/>
              <a:gd name="connsiteY20" fmla="*/ 1333500 h 1745456"/>
              <a:gd name="connsiteX21" fmla="*/ 1518781 w 4008124"/>
              <a:gd name="connsiteY21" fmla="*/ 1352549 h 1745456"/>
              <a:gd name="connsiteX22" fmla="*/ 1374010 w 4008124"/>
              <a:gd name="connsiteY22" fmla="*/ 1283494 h 1745456"/>
              <a:gd name="connsiteX23" fmla="*/ 1200254 w 4008124"/>
              <a:gd name="connsiteY23" fmla="*/ 1235869 h 1745456"/>
              <a:gd name="connsiteX24" fmla="*/ 1036437 w 4008124"/>
              <a:gd name="connsiteY24" fmla="*/ 1197770 h 1745456"/>
              <a:gd name="connsiteX25" fmla="*/ 955799 w 4008124"/>
              <a:gd name="connsiteY25" fmla="*/ 1207294 h 1745456"/>
              <a:gd name="connsiteX26" fmla="*/ 850230 w 4008124"/>
              <a:gd name="connsiteY26" fmla="*/ 1188244 h 1745456"/>
              <a:gd name="connsiteX27" fmla="*/ 694909 w 4008124"/>
              <a:gd name="connsiteY27" fmla="*/ 1126331 h 1745456"/>
              <a:gd name="connsiteX28" fmla="*/ 528761 w 4008124"/>
              <a:gd name="connsiteY28" fmla="*/ 1031081 h 1745456"/>
              <a:gd name="connsiteX29" fmla="*/ 333374 w 4008124"/>
              <a:gd name="connsiteY29" fmla="*/ 1028700 h 1745456"/>
              <a:gd name="connsiteX30" fmla="*/ 173135 w 4008124"/>
              <a:gd name="connsiteY30" fmla="*/ 1083470 h 1745456"/>
              <a:gd name="connsiteX31" fmla="*/ 0 w 4008124"/>
              <a:gd name="connsiteY31" fmla="*/ 1059656 h 1745456"/>
              <a:gd name="connsiteX32" fmla="*/ 17699 w 4008124"/>
              <a:gd name="connsiteY32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575674 w 4008124"/>
              <a:gd name="connsiteY9" fmla="*/ 1052512 h 1745456"/>
              <a:gd name="connsiteX10" fmla="*/ 2656312 w 4008124"/>
              <a:gd name="connsiteY10" fmla="*/ 1064418 h 1745456"/>
              <a:gd name="connsiteX11" fmla="*/ 2739323 w 4008124"/>
              <a:gd name="connsiteY11" fmla="*/ 1090611 h 1745456"/>
              <a:gd name="connsiteX12" fmla="*/ 2869767 w 4008124"/>
              <a:gd name="connsiteY12" fmla="*/ 1100136 h 1745456"/>
              <a:gd name="connsiteX13" fmla="*/ 2983608 w 4008124"/>
              <a:gd name="connsiteY13" fmla="*/ 1119186 h 1745456"/>
              <a:gd name="connsiteX14" fmla="*/ 3782873 w 4008124"/>
              <a:gd name="connsiteY14" fmla="*/ 1264442 h 1745456"/>
              <a:gd name="connsiteX15" fmla="*/ 3403401 w 4008124"/>
              <a:gd name="connsiteY15" fmla="*/ 1195386 h 1745456"/>
              <a:gd name="connsiteX16" fmla="*/ 3780502 w 4008124"/>
              <a:gd name="connsiteY16" fmla="*/ 1259680 h 1745456"/>
              <a:gd name="connsiteX17" fmla="*/ 4003445 w 4008124"/>
              <a:gd name="connsiteY17" fmla="*/ 1338263 h 1745456"/>
              <a:gd name="connsiteX18" fmla="*/ 4005720 w 4008124"/>
              <a:gd name="connsiteY18" fmla="*/ 1745456 h 1745456"/>
              <a:gd name="connsiteX19" fmla="*/ 1683573 w 4008124"/>
              <a:gd name="connsiteY19" fmla="*/ 1364456 h 1745456"/>
              <a:gd name="connsiteX20" fmla="*/ 1559623 w 4008124"/>
              <a:gd name="connsiteY20" fmla="*/ 1333500 h 1745456"/>
              <a:gd name="connsiteX21" fmla="*/ 1518781 w 4008124"/>
              <a:gd name="connsiteY21" fmla="*/ 1352549 h 1745456"/>
              <a:gd name="connsiteX22" fmla="*/ 1374010 w 4008124"/>
              <a:gd name="connsiteY22" fmla="*/ 1283494 h 1745456"/>
              <a:gd name="connsiteX23" fmla="*/ 1200254 w 4008124"/>
              <a:gd name="connsiteY23" fmla="*/ 1235869 h 1745456"/>
              <a:gd name="connsiteX24" fmla="*/ 1036437 w 4008124"/>
              <a:gd name="connsiteY24" fmla="*/ 1197770 h 1745456"/>
              <a:gd name="connsiteX25" fmla="*/ 955799 w 4008124"/>
              <a:gd name="connsiteY25" fmla="*/ 1207294 h 1745456"/>
              <a:gd name="connsiteX26" fmla="*/ 850230 w 4008124"/>
              <a:gd name="connsiteY26" fmla="*/ 1188244 h 1745456"/>
              <a:gd name="connsiteX27" fmla="*/ 694909 w 4008124"/>
              <a:gd name="connsiteY27" fmla="*/ 1126331 h 1745456"/>
              <a:gd name="connsiteX28" fmla="*/ 528761 w 4008124"/>
              <a:gd name="connsiteY28" fmla="*/ 1031081 h 1745456"/>
              <a:gd name="connsiteX29" fmla="*/ 333374 w 4008124"/>
              <a:gd name="connsiteY29" fmla="*/ 1028700 h 1745456"/>
              <a:gd name="connsiteX30" fmla="*/ 173135 w 4008124"/>
              <a:gd name="connsiteY30" fmla="*/ 1083470 h 1745456"/>
              <a:gd name="connsiteX31" fmla="*/ 0 w 4008124"/>
              <a:gd name="connsiteY31" fmla="*/ 1059656 h 1745456"/>
              <a:gd name="connsiteX32" fmla="*/ 17699 w 4008124"/>
              <a:gd name="connsiteY32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383566 w 4008124"/>
              <a:gd name="connsiteY9" fmla="*/ 964405 h 1745456"/>
              <a:gd name="connsiteX10" fmla="*/ 2575674 w 4008124"/>
              <a:gd name="connsiteY10" fmla="*/ 1052512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381195 w 4008124"/>
              <a:gd name="connsiteY9" fmla="*/ 985837 h 1745456"/>
              <a:gd name="connsiteX10" fmla="*/ 2575674 w 4008124"/>
              <a:gd name="connsiteY10" fmla="*/ 1052512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388310 w 4008124"/>
              <a:gd name="connsiteY9" fmla="*/ 978693 h 1745456"/>
              <a:gd name="connsiteX10" fmla="*/ 2575674 w 4008124"/>
              <a:gd name="connsiteY10" fmla="*/ 1052512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388310 w 4008124"/>
              <a:gd name="connsiteY9" fmla="*/ 978693 h 1745456"/>
              <a:gd name="connsiteX10" fmla="*/ 2575674 w 4008124"/>
              <a:gd name="connsiteY10" fmla="*/ 1052512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61015 w 4008124"/>
              <a:gd name="connsiteY8" fmla="*/ 821533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18325 w 4008124"/>
              <a:gd name="connsiteY8" fmla="*/ 821533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18325 w 4008124"/>
              <a:gd name="connsiteY8" fmla="*/ 821533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97366 w 4008124"/>
              <a:gd name="connsiteY7" fmla="*/ 731043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2499 w 4008124"/>
              <a:gd name="connsiteY6" fmla="*/ 654845 h 1745456"/>
              <a:gd name="connsiteX7" fmla="*/ 1868906 w 4008124"/>
              <a:gd name="connsiteY7" fmla="*/ 742950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766923 w 4008124"/>
              <a:gd name="connsiteY6" fmla="*/ 664370 h 1745456"/>
              <a:gd name="connsiteX7" fmla="*/ 1868906 w 4008124"/>
              <a:gd name="connsiteY7" fmla="*/ 742950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7243 w 4008124"/>
              <a:gd name="connsiteY6" fmla="*/ 685801 h 1745456"/>
              <a:gd name="connsiteX7" fmla="*/ 1868906 w 4008124"/>
              <a:gd name="connsiteY7" fmla="*/ 742950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7243 w 4008124"/>
              <a:gd name="connsiteY6" fmla="*/ 685801 h 1745456"/>
              <a:gd name="connsiteX7" fmla="*/ 1890251 w 4008124"/>
              <a:gd name="connsiteY7" fmla="*/ 740569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  <a:gd name="connsiteX0" fmla="*/ 17699 w 4008124"/>
              <a:gd name="connsiteY0" fmla="*/ 19049 h 1745456"/>
              <a:gd name="connsiteX1" fmla="*/ 3686766 w 4008124"/>
              <a:gd name="connsiteY1" fmla="*/ 0 h 1745456"/>
              <a:gd name="connsiteX2" fmla="*/ 2629291 w 4008124"/>
              <a:gd name="connsiteY2" fmla="*/ 678657 h 1745456"/>
              <a:gd name="connsiteX3" fmla="*/ 1805150 w 4008124"/>
              <a:gd name="connsiteY3" fmla="*/ 545305 h 1745456"/>
              <a:gd name="connsiteX4" fmla="*/ 1719338 w 4008124"/>
              <a:gd name="connsiteY4" fmla="*/ 511968 h 1745456"/>
              <a:gd name="connsiteX5" fmla="*/ 1705348 w 4008124"/>
              <a:gd name="connsiteY5" fmla="*/ 571500 h 1745456"/>
              <a:gd name="connsiteX6" fmla="*/ 1807243 w 4008124"/>
              <a:gd name="connsiteY6" fmla="*/ 685801 h 1745456"/>
              <a:gd name="connsiteX7" fmla="*/ 1890251 w 4008124"/>
              <a:gd name="connsiteY7" fmla="*/ 740569 h 1745456"/>
              <a:gd name="connsiteX8" fmla="*/ 2018325 w 4008124"/>
              <a:gd name="connsiteY8" fmla="*/ 814389 h 1745456"/>
              <a:gd name="connsiteX9" fmla="*/ 2388310 w 4008124"/>
              <a:gd name="connsiteY9" fmla="*/ 978693 h 1745456"/>
              <a:gd name="connsiteX10" fmla="*/ 2575674 w 4008124"/>
              <a:gd name="connsiteY10" fmla="*/ 1042987 h 1745456"/>
              <a:gd name="connsiteX11" fmla="*/ 2656312 w 4008124"/>
              <a:gd name="connsiteY11" fmla="*/ 1064418 h 1745456"/>
              <a:gd name="connsiteX12" fmla="*/ 2739323 w 4008124"/>
              <a:gd name="connsiteY12" fmla="*/ 1090611 h 1745456"/>
              <a:gd name="connsiteX13" fmla="*/ 2869767 w 4008124"/>
              <a:gd name="connsiteY13" fmla="*/ 1100136 h 1745456"/>
              <a:gd name="connsiteX14" fmla="*/ 2983608 w 4008124"/>
              <a:gd name="connsiteY14" fmla="*/ 1119186 h 1745456"/>
              <a:gd name="connsiteX15" fmla="*/ 3782873 w 4008124"/>
              <a:gd name="connsiteY15" fmla="*/ 1264442 h 1745456"/>
              <a:gd name="connsiteX16" fmla="*/ 3403401 w 4008124"/>
              <a:gd name="connsiteY16" fmla="*/ 1195386 h 1745456"/>
              <a:gd name="connsiteX17" fmla="*/ 3780502 w 4008124"/>
              <a:gd name="connsiteY17" fmla="*/ 1259680 h 1745456"/>
              <a:gd name="connsiteX18" fmla="*/ 4003445 w 4008124"/>
              <a:gd name="connsiteY18" fmla="*/ 1338263 h 1745456"/>
              <a:gd name="connsiteX19" fmla="*/ 4005720 w 4008124"/>
              <a:gd name="connsiteY19" fmla="*/ 1745456 h 1745456"/>
              <a:gd name="connsiteX20" fmla="*/ 1683573 w 4008124"/>
              <a:gd name="connsiteY20" fmla="*/ 1364456 h 1745456"/>
              <a:gd name="connsiteX21" fmla="*/ 1559623 w 4008124"/>
              <a:gd name="connsiteY21" fmla="*/ 1333500 h 1745456"/>
              <a:gd name="connsiteX22" fmla="*/ 1518781 w 4008124"/>
              <a:gd name="connsiteY22" fmla="*/ 1352549 h 1745456"/>
              <a:gd name="connsiteX23" fmla="*/ 1374010 w 4008124"/>
              <a:gd name="connsiteY23" fmla="*/ 1283494 h 1745456"/>
              <a:gd name="connsiteX24" fmla="*/ 1200254 w 4008124"/>
              <a:gd name="connsiteY24" fmla="*/ 1235869 h 1745456"/>
              <a:gd name="connsiteX25" fmla="*/ 1036437 w 4008124"/>
              <a:gd name="connsiteY25" fmla="*/ 1197770 h 1745456"/>
              <a:gd name="connsiteX26" fmla="*/ 955799 w 4008124"/>
              <a:gd name="connsiteY26" fmla="*/ 1207294 h 1745456"/>
              <a:gd name="connsiteX27" fmla="*/ 850230 w 4008124"/>
              <a:gd name="connsiteY27" fmla="*/ 1188244 h 1745456"/>
              <a:gd name="connsiteX28" fmla="*/ 694909 w 4008124"/>
              <a:gd name="connsiteY28" fmla="*/ 1126331 h 1745456"/>
              <a:gd name="connsiteX29" fmla="*/ 528761 w 4008124"/>
              <a:gd name="connsiteY29" fmla="*/ 1031081 h 1745456"/>
              <a:gd name="connsiteX30" fmla="*/ 333374 w 4008124"/>
              <a:gd name="connsiteY30" fmla="*/ 1028700 h 1745456"/>
              <a:gd name="connsiteX31" fmla="*/ 173135 w 4008124"/>
              <a:gd name="connsiteY31" fmla="*/ 1083470 h 1745456"/>
              <a:gd name="connsiteX32" fmla="*/ 0 w 4008124"/>
              <a:gd name="connsiteY32" fmla="*/ 1059656 h 1745456"/>
              <a:gd name="connsiteX33" fmla="*/ 17699 w 4008124"/>
              <a:gd name="connsiteY33" fmla="*/ 19049 h 17454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</a:cxnLst>
            <a:rect l="l" t="t" r="r" b="b"/>
            <a:pathLst>
              <a:path w="4008124" h="1745456">
                <a:moveTo>
                  <a:pt x="17699" y="19049"/>
                </a:moveTo>
                <a:lnTo>
                  <a:pt x="3686766" y="0"/>
                </a:lnTo>
                <a:lnTo>
                  <a:pt x="2629291" y="678657"/>
                </a:lnTo>
                <a:lnTo>
                  <a:pt x="1805150" y="545305"/>
                </a:lnTo>
                <a:lnTo>
                  <a:pt x="1719338" y="511968"/>
                </a:lnTo>
                <a:lnTo>
                  <a:pt x="1705348" y="571500"/>
                </a:lnTo>
                <a:cubicBezTo>
                  <a:pt x="1722711" y="616744"/>
                  <a:pt x="1773278" y="647701"/>
                  <a:pt x="1807243" y="685801"/>
                </a:cubicBezTo>
                <a:lnTo>
                  <a:pt x="1890251" y="740569"/>
                </a:lnTo>
                <a:lnTo>
                  <a:pt x="2018325" y="814389"/>
                </a:lnTo>
                <a:cubicBezTo>
                  <a:pt x="2141652" y="859632"/>
                  <a:pt x="2264982" y="926306"/>
                  <a:pt x="2388310" y="978693"/>
                </a:cubicBezTo>
                <a:cubicBezTo>
                  <a:pt x="2450765" y="989012"/>
                  <a:pt x="2513219" y="1018381"/>
                  <a:pt x="2575674" y="1042987"/>
                </a:cubicBezTo>
                <a:lnTo>
                  <a:pt x="2656312" y="1064418"/>
                </a:lnTo>
                <a:lnTo>
                  <a:pt x="2739323" y="1090611"/>
                </a:lnTo>
                <a:lnTo>
                  <a:pt x="2869767" y="1100136"/>
                </a:lnTo>
                <a:lnTo>
                  <a:pt x="2983608" y="1119186"/>
                </a:lnTo>
                <a:cubicBezTo>
                  <a:pt x="3085986" y="1135855"/>
                  <a:pt x="3712907" y="1251742"/>
                  <a:pt x="3782873" y="1264442"/>
                </a:cubicBezTo>
                <a:lnTo>
                  <a:pt x="3403401" y="1195386"/>
                </a:lnTo>
                <a:lnTo>
                  <a:pt x="3780502" y="1259680"/>
                </a:lnTo>
                <a:lnTo>
                  <a:pt x="4003445" y="1338263"/>
                </a:lnTo>
                <a:cubicBezTo>
                  <a:pt x="4001041" y="1599407"/>
                  <a:pt x="4008124" y="1484312"/>
                  <a:pt x="4005720" y="1745456"/>
                </a:cubicBezTo>
                <a:lnTo>
                  <a:pt x="1683573" y="1364456"/>
                </a:lnTo>
                <a:lnTo>
                  <a:pt x="1559623" y="1333500"/>
                </a:lnTo>
                <a:lnTo>
                  <a:pt x="1518781" y="1352549"/>
                </a:lnTo>
                <a:lnTo>
                  <a:pt x="1374010" y="1283494"/>
                </a:lnTo>
                <a:lnTo>
                  <a:pt x="1200254" y="1235869"/>
                </a:lnTo>
                <a:lnTo>
                  <a:pt x="1036437" y="1197770"/>
                </a:lnTo>
                <a:lnTo>
                  <a:pt x="955799" y="1207294"/>
                </a:lnTo>
                <a:lnTo>
                  <a:pt x="850230" y="1188244"/>
                </a:lnTo>
                <a:lnTo>
                  <a:pt x="694909" y="1126331"/>
                </a:lnTo>
                <a:lnTo>
                  <a:pt x="528761" y="1031081"/>
                </a:lnTo>
                <a:lnTo>
                  <a:pt x="333374" y="1028700"/>
                </a:lnTo>
                <a:lnTo>
                  <a:pt x="173135" y="1083470"/>
                </a:lnTo>
                <a:lnTo>
                  <a:pt x="0" y="1059656"/>
                </a:lnTo>
                <a:lnTo>
                  <a:pt x="17699" y="19049"/>
                </a:lnTo>
                <a:close/>
              </a:path>
            </a:pathLst>
          </a:custGeom>
          <a:solidFill>
            <a:srgbClr val="0099FF">
              <a:alpha val="34902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25</xdr:col>
      <xdr:colOff>438149</xdr:colOff>
      <xdr:row>4</xdr:row>
      <xdr:rowOff>145254</xdr:rowOff>
    </xdr:from>
    <xdr:to>
      <xdr:col>32</xdr:col>
      <xdr:colOff>504826</xdr:colOff>
      <xdr:row>14</xdr:row>
      <xdr:rowOff>92075</xdr:rowOff>
    </xdr:to>
    <xdr:sp macro="" textlink="">
      <xdr:nvSpPr>
        <xdr:cNvPr id="18" name="Freeform 17"/>
        <xdr:cNvSpPr/>
      </xdr:nvSpPr>
      <xdr:spPr>
        <a:xfrm>
          <a:off x="15678149" y="1535904"/>
          <a:ext cx="4333877" cy="1851821"/>
        </a:xfrm>
        <a:custGeom>
          <a:avLst/>
          <a:gdLst>
            <a:gd name="connsiteX0" fmla="*/ 273844 w 4143375"/>
            <a:gd name="connsiteY0" fmla="*/ 0 h 1785938"/>
            <a:gd name="connsiteX1" fmla="*/ 3833813 w 4143375"/>
            <a:gd name="connsiteY1" fmla="*/ 0 h 1785938"/>
            <a:gd name="connsiteX2" fmla="*/ 2726532 w 4143375"/>
            <a:gd name="connsiteY2" fmla="*/ 726282 h 1785938"/>
            <a:gd name="connsiteX3" fmla="*/ 1845469 w 4143375"/>
            <a:gd name="connsiteY3" fmla="*/ 619125 h 1785938"/>
            <a:gd name="connsiteX4" fmla="*/ 1738313 w 4143375"/>
            <a:gd name="connsiteY4" fmla="*/ 476250 h 1785938"/>
            <a:gd name="connsiteX5" fmla="*/ 1607344 w 4143375"/>
            <a:gd name="connsiteY5" fmla="*/ 476250 h 1785938"/>
            <a:gd name="connsiteX6" fmla="*/ 1607344 w 4143375"/>
            <a:gd name="connsiteY6" fmla="*/ 476250 h 1785938"/>
            <a:gd name="connsiteX7" fmla="*/ 1726407 w 4143375"/>
            <a:gd name="connsiteY7" fmla="*/ 535782 h 1785938"/>
            <a:gd name="connsiteX8" fmla="*/ 1797844 w 4143375"/>
            <a:gd name="connsiteY8" fmla="*/ 654844 h 1785938"/>
            <a:gd name="connsiteX9" fmla="*/ 4143375 w 4143375"/>
            <a:gd name="connsiteY9" fmla="*/ 988219 h 1785938"/>
            <a:gd name="connsiteX10" fmla="*/ 4119563 w 4143375"/>
            <a:gd name="connsiteY10" fmla="*/ 1785938 h 1785938"/>
            <a:gd name="connsiteX11" fmla="*/ 1690688 w 4143375"/>
            <a:gd name="connsiteY11" fmla="*/ 1393032 h 1785938"/>
            <a:gd name="connsiteX12" fmla="*/ 1535907 w 4143375"/>
            <a:gd name="connsiteY12" fmla="*/ 1440657 h 1785938"/>
            <a:gd name="connsiteX13" fmla="*/ 1404938 w 4143375"/>
            <a:gd name="connsiteY13" fmla="*/ 1416844 h 1785938"/>
            <a:gd name="connsiteX14" fmla="*/ 1381125 w 4143375"/>
            <a:gd name="connsiteY14" fmla="*/ 1440657 h 1785938"/>
            <a:gd name="connsiteX15" fmla="*/ 1226344 w 4143375"/>
            <a:gd name="connsiteY15" fmla="*/ 1393032 h 1785938"/>
            <a:gd name="connsiteX16" fmla="*/ 881063 w 4143375"/>
            <a:gd name="connsiteY16" fmla="*/ 1202532 h 1785938"/>
            <a:gd name="connsiteX17" fmla="*/ 559594 w 4143375"/>
            <a:gd name="connsiteY17" fmla="*/ 1202532 h 1785938"/>
            <a:gd name="connsiteX18" fmla="*/ 333375 w 4143375"/>
            <a:gd name="connsiteY18" fmla="*/ 1143000 h 1785938"/>
            <a:gd name="connsiteX19" fmla="*/ 0 w 4143375"/>
            <a:gd name="connsiteY19" fmla="*/ 1166813 h 1785938"/>
            <a:gd name="connsiteX20" fmla="*/ 273844 w 4143375"/>
            <a:gd name="connsiteY20" fmla="*/ 0 h 1785938"/>
            <a:gd name="connsiteX0" fmla="*/ 273844 w 4143375"/>
            <a:gd name="connsiteY0" fmla="*/ 0 h 1785938"/>
            <a:gd name="connsiteX1" fmla="*/ 3833813 w 4143375"/>
            <a:gd name="connsiteY1" fmla="*/ 0 h 1785938"/>
            <a:gd name="connsiteX2" fmla="*/ 2726532 w 4143375"/>
            <a:gd name="connsiteY2" fmla="*/ 726282 h 1785938"/>
            <a:gd name="connsiteX3" fmla="*/ 1845469 w 4143375"/>
            <a:gd name="connsiteY3" fmla="*/ 619125 h 1785938"/>
            <a:gd name="connsiteX4" fmla="*/ 1738313 w 4143375"/>
            <a:gd name="connsiteY4" fmla="*/ 476250 h 1785938"/>
            <a:gd name="connsiteX5" fmla="*/ 1607344 w 4143375"/>
            <a:gd name="connsiteY5" fmla="*/ 476250 h 1785938"/>
            <a:gd name="connsiteX6" fmla="*/ 1416844 w 4143375"/>
            <a:gd name="connsiteY6" fmla="*/ 535781 h 1785938"/>
            <a:gd name="connsiteX7" fmla="*/ 1726407 w 4143375"/>
            <a:gd name="connsiteY7" fmla="*/ 535782 h 1785938"/>
            <a:gd name="connsiteX8" fmla="*/ 1797844 w 4143375"/>
            <a:gd name="connsiteY8" fmla="*/ 654844 h 1785938"/>
            <a:gd name="connsiteX9" fmla="*/ 4143375 w 4143375"/>
            <a:gd name="connsiteY9" fmla="*/ 988219 h 1785938"/>
            <a:gd name="connsiteX10" fmla="*/ 4119563 w 4143375"/>
            <a:gd name="connsiteY10" fmla="*/ 1785938 h 1785938"/>
            <a:gd name="connsiteX11" fmla="*/ 1690688 w 4143375"/>
            <a:gd name="connsiteY11" fmla="*/ 1393032 h 1785938"/>
            <a:gd name="connsiteX12" fmla="*/ 1535907 w 4143375"/>
            <a:gd name="connsiteY12" fmla="*/ 1440657 h 1785938"/>
            <a:gd name="connsiteX13" fmla="*/ 1404938 w 4143375"/>
            <a:gd name="connsiteY13" fmla="*/ 1416844 h 1785938"/>
            <a:gd name="connsiteX14" fmla="*/ 1381125 w 4143375"/>
            <a:gd name="connsiteY14" fmla="*/ 1440657 h 1785938"/>
            <a:gd name="connsiteX15" fmla="*/ 1226344 w 4143375"/>
            <a:gd name="connsiteY15" fmla="*/ 1393032 h 1785938"/>
            <a:gd name="connsiteX16" fmla="*/ 881063 w 4143375"/>
            <a:gd name="connsiteY16" fmla="*/ 1202532 h 1785938"/>
            <a:gd name="connsiteX17" fmla="*/ 559594 w 4143375"/>
            <a:gd name="connsiteY17" fmla="*/ 1202532 h 1785938"/>
            <a:gd name="connsiteX18" fmla="*/ 333375 w 4143375"/>
            <a:gd name="connsiteY18" fmla="*/ 1143000 h 1785938"/>
            <a:gd name="connsiteX19" fmla="*/ 0 w 4143375"/>
            <a:gd name="connsiteY19" fmla="*/ 1166813 h 1785938"/>
            <a:gd name="connsiteX20" fmla="*/ 273844 w 4143375"/>
            <a:gd name="connsiteY20" fmla="*/ 0 h 1785938"/>
            <a:gd name="connsiteX0" fmla="*/ 273844 w 4143375"/>
            <a:gd name="connsiteY0" fmla="*/ 0 h 1785938"/>
            <a:gd name="connsiteX1" fmla="*/ 3833813 w 4143375"/>
            <a:gd name="connsiteY1" fmla="*/ 0 h 1785938"/>
            <a:gd name="connsiteX2" fmla="*/ 2726532 w 4143375"/>
            <a:gd name="connsiteY2" fmla="*/ 726282 h 1785938"/>
            <a:gd name="connsiteX3" fmla="*/ 1845469 w 4143375"/>
            <a:gd name="connsiteY3" fmla="*/ 619125 h 1785938"/>
            <a:gd name="connsiteX4" fmla="*/ 1738313 w 4143375"/>
            <a:gd name="connsiteY4" fmla="*/ 476250 h 1785938"/>
            <a:gd name="connsiteX5" fmla="*/ 1607344 w 4143375"/>
            <a:gd name="connsiteY5" fmla="*/ 476250 h 1785938"/>
            <a:gd name="connsiteX6" fmla="*/ 1580492 w 4143375"/>
            <a:gd name="connsiteY6" fmla="*/ 526256 h 1785938"/>
            <a:gd name="connsiteX7" fmla="*/ 1726407 w 4143375"/>
            <a:gd name="connsiteY7" fmla="*/ 535782 h 1785938"/>
            <a:gd name="connsiteX8" fmla="*/ 1797844 w 4143375"/>
            <a:gd name="connsiteY8" fmla="*/ 654844 h 1785938"/>
            <a:gd name="connsiteX9" fmla="*/ 4143375 w 4143375"/>
            <a:gd name="connsiteY9" fmla="*/ 988219 h 1785938"/>
            <a:gd name="connsiteX10" fmla="*/ 4119563 w 4143375"/>
            <a:gd name="connsiteY10" fmla="*/ 1785938 h 1785938"/>
            <a:gd name="connsiteX11" fmla="*/ 1690688 w 4143375"/>
            <a:gd name="connsiteY11" fmla="*/ 1393032 h 1785938"/>
            <a:gd name="connsiteX12" fmla="*/ 1535907 w 4143375"/>
            <a:gd name="connsiteY12" fmla="*/ 1440657 h 1785938"/>
            <a:gd name="connsiteX13" fmla="*/ 1404938 w 4143375"/>
            <a:gd name="connsiteY13" fmla="*/ 1416844 h 1785938"/>
            <a:gd name="connsiteX14" fmla="*/ 1381125 w 4143375"/>
            <a:gd name="connsiteY14" fmla="*/ 1440657 h 1785938"/>
            <a:gd name="connsiteX15" fmla="*/ 1226344 w 4143375"/>
            <a:gd name="connsiteY15" fmla="*/ 1393032 h 1785938"/>
            <a:gd name="connsiteX16" fmla="*/ 881063 w 4143375"/>
            <a:gd name="connsiteY16" fmla="*/ 1202532 h 1785938"/>
            <a:gd name="connsiteX17" fmla="*/ 559594 w 4143375"/>
            <a:gd name="connsiteY17" fmla="*/ 1202532 h 1785938"/>
            <a:gd name="connsiteX18" fmla="*/ 333375 w 4143375"/>
            <a:gd name="connsiteY18" fmla="*/ 1143000 h 1785938"/>
            <a:gd name="connsiteX19" fmla="*/ 0 w 4143375"/>
            <a:gd name="connsiteY19" fmla="*/ 1166813 h 1785938"/>
            <a:gd name="connsiteX20" fmla="*/ 273844 w 4143375"/>
            <a:gd name="connsiteY20" fmla="*/ 0 h 1785938"/>
            <a:gd name="connsiteX0" fmla="*/ 273844 w 4143375"/>
            <a:gd name="connsiteY0" fmla="*/ 0 h 1785938"/>
            <a:gd name="connsiteX1" fmla="*/ 3833813 w 4143375"/>
            <a:gd name="connsiteY1" fmla="*/ 0 h 1785938"/>
            <a:gd name="connsiteX2" fmla="*/ 2726532 w 4143375"/>
            <a:gd name="connsiteY2" fmla="*/ 726282 h 1785938"/>
            <a:gd name="connsiteX3" fmla="*/ 1835983 w 4143375"/>
            <a:gd name="connsiteY3" fmla="*/ 588168 h 1785938"/>
            <a:gd name="connsiteX4" fmla="*/ 1738313 w 4143375"/>
            <a:gd name="connsiteY4" fmla="*/ 476250 h 1785938"/>
            <a:gd name="connsiteX5" fmla="*/ 1607344 w 4143375"/>
            <a:gd name="connsiteY5" fmla="*/ 476250 h 1785938"/>
            <a:gd name="connsiteX6" fmla="*/ 1580492 w 4143375"/>
            <a:gd name="connsiteY6" fmla="*/ 526256 h 1785938"/>
            <a:gd name="connsiteX7" fmla="*/ 1726407 w 4143375"/>
            <a:gd name="connsiteY7" fmla="*/ 535782 h 1785938"/>
            <a:gd name="connsiteX8" fmla="*/ 1797844 w 4143375"/>
            <a:gd name="connsiteY8" fmla="*/ 654844 h 1785938"/>
            <a:gd name="connsiteX9" fmla="*/ 4143375 w 4143375"/>
            <a:gd name="connsiteY9" fmla="*/ 988219 h 1785938"/>
            <a:gd name="connsiteX10" fmla="*/ 4119563 w 4143375"/>
            <a:gd name="connsiteY10" fmla="*/ 1785938 h 1785938"/>
            <a:gd name="connsiteX11" fmla="*/ 1690688 w 4143375"/>
            <a:gd name="connsiteY11" fmla="*/ 1393032 h 1785938"/>
            <a:gd name="connsiteX12" fmla="*/ 1535907 w 4143375"/>
            <a:gd name="connsiteY12" fmla="*/ 1440657 h 1785938"/>
            <a:gd name="connsiteX13" fmla="*/ 1404938 w 4143375"/>
            <a:gd name="connsiteY13" fmla="*/ 1416844 h 1785938"/>
            <a:gd name="connsiteX14" fmla="*/ 1381125 w 4143375"/>
            <a:gd name="connsiteY14" fmla="*/ 1440657 h 1785938"/>
            <a:gd name="connsiteX15" fmla="*/ 1226344 w 4143375"/>
            <a:gd name="connsiteY15" fmla="*/ 1393032 h 1785938"/>
            <a:gd name="connsiteX16" fmla="*/ 881063 w 4143375"/>
            <a:gd name="connsiteY16" fmla="*/ 1202532 h 1785938"/>
            <a:gd name="connsiteX17" fmla="*/ 559594 w 4143375"/>
            <a:gd name="connsiteY17" fmla="*/ 1202532 h 1785938"/>
            <a:gd name="connsiteX18" fmla="*/ 333375 w 4143375"/>
            <a:gd name="connsiteY18" fmla="*/ 1143000 h 1785938"/>
            <a:gd name="connsiteX19" fmla="*/ 0 w 4143375"/>
            <a:gd name="connsiteY19" fmla="*/ 1166813 h 1785938"/>
            <a:gd name="connsiteX20" fmla="*/ 273844 w 4143375"/>
            <a:gd name="connsiteY20" fmla="*/ 0 h 1785938"/>
            <a:gd name="connsiteX0" fmla="*/ 273844 w 4143375"/>
            <a:gd name="connsiteY0" fmla="*/ 0 h 1785938"/>
            <a:gd name="connsiteX1" fmla="*/ 3833813 w 4143375"/>
            <a:gd name="connsiteY1" fmla="*/ 0 h 1785938"/>
            <a:gd name="connsiteX2" fmla="*/ 2714674 w 4143375"/>
            <a:gd name="connsiteY2" fmla="*/ 721519 h 1785938"/>
            <a:gd name="connsiteX3" fmla="*/ 1835983 w 4143375"/>
            <a:gd name="connsiteY3" fmla="*/ 588168 h 1785938"/>
            <a:gd name="connsiteX4" fmla="*/ 1738313 w 4143375"/>
            <a:gd name="connsiteY4" fmla="*/ 476250 h 1785938"/>
            <a:gd name="connsiteX5" fmla="*/ 1607344 w 4143375"/>
            <a:gd name="connsiteY5" fmla="*/ 476250 h 1785938"/>
            <a:gd name="connsiteX6" fmla="*/ 1580492 w 4143375"/>
            <a:gd name="connsiteY6" fmla="*/ 526256 h 1785938"/>
            <a:gd name="connsiteX7" fmla="*/ 1726407 w 4143375"/>
            <a:gd name="connsiteY7" fmla="*/ 535782 h 1785938"/>
            <a:gd name="connsiteX8" fmla="*/ 1797844 w 4143375"/>
            <a:gd name="connsiteY8" fmla="*/ 654844 h 1785938"/>
            <a:gd name="connsiteX9" fmla="*/ 4143375 w 4143375"/>
            <a:gd name="connsiteY9" fmla="*/ 988219 h 1785938"/>
            <a:gd name="connsiteX10" fmla="*/ 4119563 w 4143375"/>
            <a:gd name="connsiteY10" fmla="*/ 1785938 h 1785938"/>
            <a:gd name="connsiteX11" fmla="*/ 1690688 w 4143375"/>
            <a:gd name="connsiteY11" fmla="*/ 1393032 h 1785938"/>
            <a:gd name="connsiteX12" fmla="*/ 1535907 w 4143375"/>
            <a:gd name="connsiteY12" fmla="*/ 1440657 h 1785938"/>
            <a:gd name="connsiteX13" fmla="*/ 1404938 w 4143375"/>
            <a:gd name="connsiteY13" fmla="*/ 1416844 h 1785938"/>
            <a:gd name="connsiteX14" fmla="*/ 1381125 w 4143375"/>
            <a:gd name="connsiteY14" fmla="*/ 1440657 h 1785938"/>
            <a:gd name="connsiteX15" fmla="*/ 1226344 w 4143375"/>
            <a:gd name="connsiteY15" fmla="*/ 1393032 h 1785938"/>
            <a:gd name="connsiteX16" fmla="*/ 881063 w 4143375"/>
            <a:gd name="connsiteY16" fmla="*/ 1202532 h 1785938"/>
            <a:gd name="connsiteX17" fmla="*/ 559594 w 4143375"/>
            <a:gd name="connsiteY17" fmla="*/ 1202532 h 1785938"/>
            <a:gd name="connsiteX18" fmla="*/ 333375 w 4143375"/>
            <a:gd name="connsiteY18" fmla="*/ 1143000 h 1785938"/>
            <a:gd name="connsiteX19" fmla="*/ 0 w 4143375"/>
            <a:gd name="connsiteY19" fmla="*/ 1166813 h 1785938"/>
            <a:gd name="connsiteX20" fmla="*/ 273844 w 4143375"/>
            <a:gd name="connsiteY20" fmla="*/ 0 h 1785938"/>
            <a:gd name="connsiteX0" fmla="*/ 273844 w 4143375"/>
            <a:gd name="connsiteY0" fmla="*/ 2381 h 1788319"/>
            <a:gd name="connsiteX1" fmla="*/ 3802981 w 4143375"/>
            <a:gd name="connsiteY1" fmla="*/ 0 h 1788319"/>
            <a:gd name="connsiteX2" fmla="*/ 2714674 w 4143375"/>
            <a:gd name="connsiteY2" fmla="*/ 723900 h 1788319"/>
            <a:gd name="connsiteX3" fmla="*/ 1835983 w 4143375"/>
            <a:gd name="connsiteY3" fmla="*/ 590549 h 1788319"/>
            <a:gd name="connsiteX4" fmla="*/ 1738313 w 4143375"/>
            <a:gd name="connsiteY4" fmla="*/ 478631 h 1788319"/>
            <a:gd name="connsiteX5" fmla="*/ 1607344 w 4143375"/>
            <a:gd name="connsiteY5" fmla="*/ 478631 h 1788319"/>
            <a:gd name="connsiteX6" fmla="*/ 1580492 w 4143375"/>
            <a:gd name="connsiteY6" fmla="*/ 528637 h 1788319"/>
            <a:gd name="connsiteX7" fmla="*/ 1726407 w 4143375"/>
            <a:gd name="connsiteY7" fmla="*/ 538163 h 1788319"/>
            <a:gd name="connsiteX8" fmla="*/ 1797844 w 4143375"/>
            <a:gd name="connsiteY8" fmla="*/ 657225 h 1788319"/>
            <a:gd name="connsiteX9" fmla="*/ 4143375 w 4143375"/>
            <a:gd name="connsiteY9" fmla="*/ 990600 h 1788319"/>
            <a:gd name="connsiteX10" fmla="*/ 4119563 w 4143375"/>
            <a:gd name="connsiteY10" fmla="*/ 1788319 h 1788319"/>
            <a:gd name="connsiteX11" fmla="*/ 1690688 w 4143375"/>
            <a:gd name="connsiteY11" fmla="*/ 1395413 h 1788319"/>
            <a:gd name="connsiteX12" fmla="*/ 1535907 w 4143375"/>
            <a:gd name="connsiteY12" fmla="*/ 1443038 h 1788319"/>
            <a:gd name="connsiteX13" fmla="*/ 1404938 w 4143375"/>
            <a:gd name="connsiteY13" fmla="*/ 1419225 h 1788319"/>
            <a:gd name="connsiteX14" fmla="*/ 1381125 w 4143375"/>
            <a:gd name="connsiteY14" fmla="*/ 1443038 h 1788319"/>
            <a:gd name="connsiteX15" fmla="*/ 1226344 w 4143375"/>
            <a:gd name="connsiteY15" fmla="*/ 1395413 h 1788319"/>
            <a:gd name="connsiteX16" fmla="*/ 881063 w 4143375"/>
            <a:gd name="connsiteY16" fmla="*/ 1204913 h 1788319"/>
            <a:gd name="connsiteX17" fmla="*/ 559594 w 4143375"/>
            <a:gd name="connsiteY17" fmla="*/ 1204913 h 1788319"/>
            <a:gd name="connsiteX18" fmla="*/ 333375 w 4143375"/>
            <a:gd name="connsiteY18" fmla="*/ 1145381 h 1788319"/>
            <a:gd name="connsiteX19" fmla="*/ 0 w 4143375"/>
            <a:gd name="connsiteY19" fmla="*/ 1169194 h 1788319"/>
            <a:gd name="connsiteX20" fmla="*/ 273844 w 4143375"/>
            <a:gd name="connsiteY20" fmla="*/ 2381 h 1788319"/>
            <a:gd name="connsiteX0" fmla="*/ 273844 w 4143375"/>
            <a:gd name="connsiteY0" fmla="*/ 2381 h 1788319"/>
            <a:gd name="connsiteX1" fmla="*/ 3802981 w 4143375"/>
            <a:gd name="connsiteY1" fmla="*/ 0 h 1788319"/>
            <a:gd name="connsiteX2" fmla="*/ 2698072 w 4143375"/>
            <a:gd name="connsiteY2" fmla="*/ 719138 h 1788319"/>
            <a:gd name="connsiteX3" fmla="*/ 1835983 w 4143375"/>
            <a:gd name="connsiteY3" fmla="*/ 590549 h 1788319"/>
            <a:gd name="connsiteX4" fmla="*/ 1738313 w 4143375"/>
            <a:gd name="connsiteY4" fmla="*/ 478631 h 1788319"/>
            <a:gd name="connsiteX5" fmla="*/ 1607344 w 4143375"/>
            <a:gd name="connsiteY5" fmla="*/ 478631 h 1788319"/>
            <a:gd name="connsiteX6" fmla="*/ 1580492 w 4143375"/>
            <a:gd name="connsiteY6" fmla="*/ 528637 h 1788319"/>
            <a:gd name="connsiteX7" fmla="*/ 1726407 w 4143375"/>
            <a:gd name="connsiteY7" fmla="*/ 538163 h 1788319"/>
            <a:gd name="connsiteX8" fmla="*/ 1797844 w 4143375"/>
            <a:gd name="connsiteY8" fmla="*/ 657225 h 1788319"/>
            <a:gd name="connsiteX9" fmla="*/ 4143375 w 4143375"/>
            <a:gd name="connsiteY9" fmla="*/ 990600 h 1788319"/>
            <a:gd name="connsiteX10" fmla="*/ 4119563 w 4143375"/>
            <a:gd name="connsiteY10" fmla="*/ 1788319 h 1788319"/>
            <a:gd name="connsiteX11" fmla="*/ 1690688 w 4143375"/>
            <a:gd name="connsiteY11" fmla="*/ 1395413 h 1788319"/>
            <a:gd name="connsiteX12" fmla="*/ 1535907 w 4143375"/>
            <a:gd name="connsiteY12" fmla="*/ 1443038 h 1788319"/>
            <a:gd name="connsiteX13" fmla="*/ 1404938 w 4143375"/>
            <a:gd name="connsiteY13" fmla="*/ 1419225 h 1788319"/>
            <a:gd name="connsiteX14" fmla="*/ 1381125 w 4143375"/>
            <a:gd name="connsiteY14" fmla="*/ 1443038 h 1788319"/>
            <a:gd name="connsiteX15" fmla="*/ 1226344 w 4143375"/>
            <a:gd name="connsiteY15" fmla="*/ 1395413 h 1788319"/>
            <a:gd name="connsiteX16" fmla="*/ 881063 w 4143375"/>
            <a:gd name="connsiteY16" fmla="*/ 1204913 h 1788319"/>
            <a:gd name="connsiteX17" fmla="*/ 559594 w 4143375"/>
            <a:gd name="connsiteY17" fmla="*/ 1204913 h 1788319"/>
            <a:gd name="connsiteX18" fmla="*/ 333375 w 4143375"/>
            <a:gd name="connsiteY18" fmla="*/ 1145381 h 1788319"/>
            <a:gd name="connsiteX19" fmla="*/ 0 w 4143375"/>
            <a:gd name="connsiteY19" fmla="*/ 1169194 h 1788319"/>
            <a:gd name="connsiteX20" fmla="*/ 273844 w 4143375"/>
            <a:gd name="connsiteY20" fmla="*/ 2381 h 1788319"/>
            <a:gd name="connsiteX0" fmla="*/ 48532 w 4143375"/>
            <a:gd name="connsiteY0" fmla="*/ 16668 h 1788319"/>
            <a:gd name="connsiteX1" fmla="*/ 3802981 w 4143375"/>
            <a:gd name="connsiteY1" fmla="*/ 0 h 1788319"/>
            <a:gd name="connsiteX2" fmla="*/ 2698072 w 4143375"/>
            <a:gd name="connsiteY2" fmla="*/ 719138 h 1788319"/>
            <a:gd name="connsiteX3" fmla="*/ 1835983 w 4143375"/>
            <a:gd name="connsiteY3" fmla="*/ 590549 h 1788319"/>
            <a:gd name="connsiteX4" fmla="*/ 1738313 w 4143375"/>
            <a:gd name="connsiteY4" fmla="*/ 478631 h 1788319"/>
            <a:gd name="connsiteX5" fmla="*/ 1607344 w 4143375"/>
            <a:gd name="connsiteY5" fmla="*/ 478631 h 1788319"/>
            <a:gd name="connsiteX6" fmla="*/ 1580492 w 4143375"/>
            <a:gd name="connsiteY6" fmla="*/ 528637 h 1788319"/>
            <a:gd name="connsiteX7" fmla="*/ 1726407 w 4143375"/>
            <a:gd name="connsiteY7" fmla="*/ 538163 h 1788319"/>
            <a:gd name="connsiteX8" fmla="*/ 1797844 w 4143375"/>
            <a:gd name="connsiteY8" fmla="*/ 657225 h 1788319"/>
            <a:gd name="connsiteX9" fmla="*/ 4143375 w 4143375"/>
            <a:gd name="connsiteY9" fmla="*/ 990600 h 1788319"/>
            <a:gd name="connsiteX10" fmla="*/ 4119563 w 4143375"/>
            <a:gd name="connsiteY10" fmla="*/ 1788319 h 1788319"/>
            <a:gd name="connsiteX11" fmla="*/ 1690688 w 4143375"/>
            <a:gd name="connsiteY11" fmla="*/ 1395413 h 1788319"/>
            <a:gd name="connsiteX12" fmla="*/ 1535907 w 4143375"/>
            <a:gd name="connsiteY12" fmla="*/ 1443038 h 1788319"/>
            <a:gd name="connsiteX13" fmla="*/ 1404938 w 4143375"/>
            <a:gd name="connsiteY13" fmla="*/ 1419225 h 1788319"/>
            <a:gd name="connsiteX14" fmla="*/ 1381125 w 4143375"/>
            <a:gd name="connsiteY14" fmla="*/ 1443038 h 1788319"/>
            <a:gd name="connsiteX15" fmla="*/ 1226344 w 4143375"/>
            <a:gd name="connsiteY15" fmla="*/ 1395413 h 1788319"/>
            <a:gd name="connsiteX16" fmla="*/ 881063 w 4143375"/>
            <a:gd name="connsiteY16" fmla="*/ 1204913 h 1788319"/>
            <a:gd name="connsiteX17" fmla="*/ 559594 w 4143375"/>
            <a:gd name="connsiteY17" fmla="*/ 1204913 h 1788319"/>
            <a:gd name="connsiteX18" fmla="*/ 333375 w 4143375"/>
            <a:gd name="connsiteY18" fmla="*/ 1145381 h 1788319"/>
            <a:gd name="connsiteX19" fmla="*/ 0 w 4143375"/>
            <a:gd name="connsiteY19" fmla="*/ 1169194 h 1788319"/>
            <a:gd name="connsiteX20" fmla="*/ 48532 w 4143375"/>
            <a:gd name="connsiteY20" fmla="*/ 16668 h 1788319"/>
            <a:gd name="connsiteX0" fmla="*/ 50903 w 4143375"/>
            <a:gd name="connsiteY0" fmla="*/ 4762 h 1788319"/>
            <a:gd name="connsiteX1" fmla="*/ 3802981 w 4143375"/>
            <a:gd name="connsiteY1" fmla="*/ 0 h 1788319"/>
            <a:gd name="connsiteX2" fmla="*/ 2698072 w 4143375"/>
            <a:gd name="connsiteY2" fmla="*/ 719138 h 1788319"/>
            <a:gd name="connsiteX3" fmla="*/ 1835983 w 4143375"/>
            <a:gd name="connsiteY3" fmla="*/ 590549 h 1788319"/>
            <a:gd name="connsiteX4" fmla="*/ 1738313 w 4143375"/>
            <a:gd name="connsiteY4" fmla="*/ 478631 h 1788319"/>
            <a:gd name="connsiteX5" fmla="*/ 1607344 w 4143375"/>
            <a:gd name="connsiteY5" fmla="*/ 478631 h 1788319"/>
            <a:gd name="connsiteX6" fmla="*/ 1580492 w 4143375"/>
            <a:gd name="connsiteY6" fmla="*/ 528637 h 1788319"/>
            <a:gd name="connsiteX7" fmla="*/ 1726407 w 4143375"/>
            <a:gd name="connsiteY7" fmla="*/ 538163 h 1788319"/>
            <a:gd name="connsiteX8" fmla="*/ 1797844 w 4143375"/>
            <a:gd name="connsiteY8" fmla="*/ 657225 h 1788319"/>
            <a:gd name="connsiteX9" fmla="*/ 4143375 w 4143375"/>
            <a:gd name="connsiteY9" fmla="*/ 990600 h 1788319"/>
            <a:gd name="connsiteX10" fmla="*/ 4119563 w 4143375"/>
            <a:gd name="connsiteY10" fmla="*/ 1788319 h 1788319"/>
            <a:gd name="connsiteX11" fmla="*/ 1690688 w 4143375"/>
            <a:gd name="connsiteY11" fmla="*/ 1395413 h 1788319"/>
            <a:gd name="connsiteX12" fmla="*/ 1535907 w 4143375"/>
            <a:gd name="connsiteY12" fmla="*/ 1443038 h 1788319"/>
            <a:gd name="connsiteX13" fmla="*/ 1404938 w 4143375"/>
            <a:gd name="connsiteY13" fmla="*/ 1419225 h 1788319"/>
            <a:gd name="connsiteX14" fmla="*/ 1381125 w 4143375"/>
            <a:gd name="connsiteY14" fmla="*/ 1443038 h 1788319"/>
            <a:gd name="connsiteX15" fmla="*/ 1226344 w 4143375"/>
            <a:gd name="connsiteY15" fmla="*/ 1395413 h 1788319"/>
            <a:gd name="connsiteX16" fmla="*/ 881063 w 4143375"/>
            <a:gd name="connsiteY16" fmla="*/ 1204913 h 1788319"/>
            <a:gd name="connsiteX17" fmla="*/ 559594 w 4143375"/>
            <a:gd name="connsiteY17" fmla="*/ 1204913 h 1788319"/>
            <a:gd name="connsiteX18" fmla="*/ 333375 w 4143375"/>
            <a:gd name="connsiteY18" fmla="*/ 1145381 h 1788319"/>
            <a:gd name="connsiteX19" fmla="*/ 0 w 4143375"/>
            <a:gd name="connsiteY19" fmla="*/ 1169194 h 1788319"/>
            <a:gd name="connsiteX20" fmla="*/ 50903 w 4143375"/>
            <a:gd name="connsiteY20" fmla="*/ 4762 h 1788319"/>
            <a:gd name="connsiteX0" fmla="*/ 50903 w 4126774"/>
            <a:gd name="connsiteY0" fmla="*/ 4762 h 1788319"/>
            <a:gd name="connsiteX1" fmla="*/ 3802981 w 4126774"/>
            <a:gd name="connsiteY1" fmla="*/ 0 h 1788319"/>
            <a:gd name="connsiteX2" fmla="*/ 2698072 w 4126774"/>
            <a:gd name="connsiteY2" fmla="*/ 719138 h 1788319"/>
            <a:gd name="connsiteX3" fmla="*/ 1835983 w 4126774"/>
            <a:gd name="connsiteY3" fmla="*/ 590549 h 1788319"/>
            <a:gd name="connsiteX4" fmla="*/ 1738313 w 4126774"/>
            <a:gd name="connsiteY4" fmla="*/ 478631 h 1788319"/>
            <a:gd name="connsiteX5" fmla="*/ 1607344 w 4126774"/>
            <a:gd name="connsiteY5" fmla="*/ 478631 h 1788319"/>
            <a:gd name="connsiteX6" fmla="*/ 1580492 w 4126774"/>
            <a:gd name="connsiteY6" fmla="*/ 528637 h 1788319"/>
            <a:gd name="connsiteX7" fmla="*/ 1726407 w 4126774"/>
            <a:gd name="connsiteY7" fmla="*/ 538163 h 1788319"/>
            <a:gd name="connsiteX8" fmla="*/ 1797844 w 4126774"/>
            <a:gd name="connsiteY8" fmla="*/ 657225 h 1788319"/>
            <a:gd name="connsiteX9" fmla="*/ 4126774 w 4126774"/>
            <a:gd name="connsiteY9" fmla="*/ 1004887 h 1788319"/>
            <a:gd name="connsiteX10" fmla="*/ 4119563 w 4126774"/>
            <a:gd name="connsiteY10" fmla="*/ 1788319 h 1788319"/>
            <a:gd name="connsiteX11" fmla="*/ 1690688 w 4126774"/>
            <a:gd name="connsiteY11" fmla="*/ 1395413 h 1788319"/>
            <a:gd name="connsiteX12" fmla="*/ 1535907 w 4126774"/>
            <a:gd name="connsiteY12" fmla="*/ 1443038 h 1788319"/>
            <a:gd name="connsiteX13" fmla="*/ 1404938 w 4126774"/>
            <a:gd name="connsiteY13" fmla="*/ 1419225 h 1788319"/>
            <a:gd name="connsiteX14" fmla="*/ 1381125 w 4126774"/>
            <a:gd name="connsiteY14" fmla="*/ 1443038 h 1788319"/>
            <a:gd name="connsiteX15" fmla="*/ 1226344 w 4126774"/>
            <a:gd name="connsiteY15" fmla="*/ 1395413 h 1788319"/>
            <a:gd name="connsiteX16" fmla="*/ 881063 w 4126774"/>
            <a:gd name="connsiteY16" fmla="*/ 1204913 h 1788319"/>
            <a:gd name="connsiteX17" fmla="*/ 559594 w 4126774"/>
            <a:gd name="connsiteY17" fmla="*/ 1204913 h 1788319"/>
            <a:gd name="connsiteX18" fmla="*/ 333375 w 4126774"/>
            <a:gd name="connsiteY18" fmla="*/ 1145381 h 1788319"/>
            <a:gd name="connsiteX19" fmla="*/ 0 w 4126774"/>
            <a:gd name="connsiteY19" fmla="*/ 1169194 h 1788319"/>
            <a:gd name="connsiteX20" fmla="*/ 50903 w 4126774"/>
            <a:gd name="connsiteY20" fmla="*/ 4762 h 1788319"/>
            <a:gd name="connsiteX0" fmla="*/ 50903 w 4126774"/>
            <a:gd name="connsiteY0" fmla="*/ 4762 h 1788319"/>
            <a:gd name="connsiteX1" fmla="*/ 3802981 w 4126774"/>
            <a:gd name="connsiteY1" fmla="*/ 0 h 1788319"/>
            <a:gd name="connsiteX2" fmla="*/ 2698072 w 4126774"/>
            <a:gd name="connsiteY2" fmla="*/ 719138 h 1788319"/>
            <a:gd name="connsiteX3" fmla="*/ 1835983 w 4126774"/>
            <a:gd name="connsiteY3" fmla="*/ 590549 h 1788319"/>
            <a:gd name="connsiteX4" fmla="*/ 1738313 w 4126774"/>
            <a:gd name="connsiteY4" fmla="*/ 478631 h 1788319"/>
            <a:gd name="connsiteX5" fmla="*/ 1607344 w 4126774"/>
            <a:gd name="connsiteY5" fmla="*/ 478631 h 1788319"/>
            <a:gd name="connsiteX6" fmla="*/ 1580492 w 4126774"/>
            <a:gd name="connsiteY6" fmla="*/ 528637 h 1788319"/>
            <a:gd name="connsiteX7" fmla="*/ 1726407 w 4126774"/>
            <a:gd name="connsiteY7" fmla="*/ 538163 h 1788319"/>
            <a:gd name="connsiteX8" fmla="*/ 1797844 w 4126774"/>
            <a:gd name="connsiteY8" fmla="*/ 657225 h 1788319"/>
            <a:gd name="connsiteX9" fmla="*/ 4126774 w 4126774"/>
            <a:gd name="connsiteY9" fmla="*/ 1004887 h 1788319"/>
            <a:gd name="connsiteX10" fmla="*/ 4119563 w 4126774"/>
            <a:gd name="connsiteY10" fmla="*/ 1788319 h 1788319"/>
            <a:gd name="connsiteX11" fmla="*/ 1690688 w 4126774"/>
            <a:gd name="connsiteY11" fmla="*/ 1395413 h 1788319"/>
            <a:gd name="connsiteX12" fmla="*/ 1535907 w 4126774"/>
            <a:gd name="connsiteY12" fmla="*/ 1443038 h 1788319"/>
            <a:gd name="connsiteX13" fmla="*/ 1404938 w 4126774"/>
            <a:gd name="connsiteY13" fmla="*/ 1419225 h 1788319"/>
            <a:gd name="connsiteX14" fmla="*/ 1381125 w 4126774"/>
            <a:gd name="connsiteY14" fmla="*/ 1443038 h 1788319"/>
            <a:gd name="connsiteX15" fmla="*/ 1226344 w 4126774"/>
            <a:gd name="connsiteY15" fmla="*/ 1395413 h 1788319"/>
            <a:gd name="connsiteX16" fmla="*/ 1079128 w 4126774"/>
            <a:gd name="connsiteY16" fmla="*/ 1312070 h 1788319"/>
            <a:gd name="connsiteX17" fmla="*/ 881063 w 4126774"/>
            <a:gd name="connsiteY17" fmla="*/ 1204913 h 1788319"/>
            <a:gd name="connsiteX18" fmla="*/ 559594 w 4126774"/>
            <a:gd name="connsiteY18" fmla="*/ 1204913 h 1788319"/>
            <a:gd name="connsiteX19" fmla="*/ 333375 w 4126774"/>
            <a:gd name="connsiteY19" fmla="*/ 1145381 h 1788319"/>
            <a:gd name="connsiteX20" fmla="*/ 0 w 4126774"/>
            <a:gd name="connsiteY20" fmla="*/ 1169194 h 1788319"/>
            <a:gd name="connsiteX21" fmla="*/ 50903 w 4126774"/>
            <a:gd name="connsiteY21" fmla="*/ 4762 h 1788319"/>
            <a:gd name="connsiteX0" fmla="*/ 50903 w 4126774"/>
            <a:gd name="connsiteY0" fmla="*/ 4762 h 1788319"/>
            <a:gd name="connsiteX1" fmla="*/ 3802981 w 4126774"/>
            <a:gd name="connsiteY1" fmla="*/ 0 h 1788319"/>
            <a:gd name="connsiteX2" fmla="*/ 2698072 w 4126774"/>
            <a:gd name="connsiteY2" fmla="*/ 719138 h 1788319"/>
            <a:gd name="connsiteX3" fmla="*/ 1835983 w 4126774"/>
            <a:gd name="connsiteY3" fmla="*/ 590549 h 1788319"/>
            <a:gd name="connsiteX4" fmla="*/ 1738313 w 4126774"/>
            <a:gd name="connsiteY4" fmla="*/ 478631 h 1788319"/>
            <a:gd name="connsiteX5" fmla="*/ 1607344 w 4126774"/>
            <a:gd name="connsiteY5" fmla="*/ 478631 h 1788319"/>
            <a:gd name="connsiteX6" fmla="*/ 1580492 w 4126774"/>
            <a:gd name="connsiteY6" fmla="*/ 528637 h 1788319"/>
            <a:gd name="connsiteX7" fmla="*/ 1726407 w 4126774"/>
            <a:gd name="connsiteY7" fmla="*/ 538163 h 1788319"/>
            <a:gd name="connsiteX8" fmla="*/ 1797844 w 4126774"/>
            <a:gd name="connsiteY8" fmla="*/ 657225 h 1788319"/>
            <a:gd name="connsiteX9" fmla="*/ 4126774 w 4126774"/>
            <a:gd name="connsiteY9" fmla="*/ 1004887 h 1788319"/>
            <a:gd name="connsiteX10" fmla="*/ 4119563 w 4126774"/>
            <a:gd name="connsiteY10" fmla="*/ 1788319 h 1788319"/>
            <a:gd name="connsiteX11" fmla="*/ 1690688 w 4126774"/>
            <a:gd name="connsiteY11" fmla="*/ 1395413 h 1788319"/>
            <a:gd name="connsiteX12" fmla="*/ 1535907 w 4126774"/>
            <a:gd name="connsiteY12" fmla="*/ 1443038 h 1788319"/>
            <a:gd name="connsiteX13" fmla="*/ 1404938 w 4126774"/>
            <a:gd name="connsiteY13" fmla="*/ 1419225 h 1788319"/>
            <a:gd name="connsiteX14" fmla="*/ 1381125 w 4126774"/>
            <a:gd name="connsiteY14" fmla="*/ 1443038 h 1788319"/>
            <a:gd name="connsiteX15" fmla="*/ 1226344 w 4126774"/>
            <a:gd name="connsiteY15" fmla="*/ 1395413 h 1788319"/>
            <a:gd name="connsiteX16" fmla="*/ 1090987 w 4126774"/>
            <a:gd name="connsiteY16" fmla="*/ 1300164 h 1788319"/>
            <a:gd name="connsiteX17" fmla="*/ 881063 w 4126774"/>
            <a:gd name="connsiteY17" fmla="*/ 1204913 h 1788319"/>
            <a:gd name="connsiteX18" fmla="*/ 559594 w 4126774"/>
            <a:gd name="connsiteY18" fmla="*/ 1204913 h 1788319"/>
            <a:gd name="connsiteX19" fmla="*/ 333375 w 4126774"/>
            <a:gd name="connsiteY19" fmla="*/ 1145381 h 1788319"/>
            <a:gd name="connsiteX20" fmla="*/ 0 w 4126774"/>
            <a:gd name="connsiteY20" fmla="*/ 1169194 h 1788319"/>
            <a:gd name="connsiteX21" fmla="*/ 50903 w 4126774"/>
            <a:gd name="connsiteY21" fmla="*/ 4762 h 1788319"/>
            <a:gd name="connsiteX0" fmla="*/ 50903 w 4126774"/>
            <a:gd name="connsiteY0" fmla="*/ 4762 h 1788319"/>
            <a:gd name="connsiteX1" fmla="*/ 3802981 w 4126774"/>
            <a:gd name="connsiteY1" fmla="*/ 0 h 1788319"/>
            <a:gd name="connsiteX2" fmla="*/ 2698072 w 4126774"/>
            <a:gd name="connsiteY2" fmla="*/ 719138 h 1788319"/>
            <a:gd name="connsiteX3" fmla="*/ 1835983 w 4126774"/>
            <a:gd name="connsiteY3" fmla="*/ 590549 h 1788319"/>
            <a:gd name="connsiteX4" fmla="*/ 1738313 w 4126774"/>
            <a:gd name="connsiteY4" fmla="*/ 478631 h 1788319"/>
            <a:gd name="connsiteX5" fmla="*/ 1607344 w 4126774"/>
            <a:gd name="connsiteY5" fmla="*/ 478631 h 1788319"/>
            <a:gd name="connsiteX6" fmla="*/ 1580492 w 4126774"/>
            <a:gd name="connsiteY6" fmla="*/ 528637 h 1788319"/>
            <a:gd name="connsiteX7" fmla="*/ 1726407 w 4126774"/>
            <a:gd name="connsiteY7" fmla="*/ 538163 h 1788319"/>
            <a:gd name="connsiteX8" fmla="*/ 1797844 w 4126774"/>
            <a:gd name="connsiteY8" fmla="*/ 657225 h 1788319"/>
            <a:gd name="connsiteX9" fmla="*/ 4126774 w 4126774"/>
            <a:gd name="connsiteY9" fmla="*/ 1004887 h 1788319"/>
            <a:gd name="connsiteX10" fmla="*/ 4119563 w 4126774"/>
            <a:gd name="connsiteY10" fmla="*/ 1788319 h 1788319"/>
            <a:gd name="connsiteX11" fmla="*/ 1690688 w 4126774"/>
            <a:gd name="connsiteY11" fmla="*/ 1395413 h 1788319"/>
            <a:gd name="connsiteX12" fmla="*/ 1535907 w 4126774"/>
            <a:gd name="connsiteY12" fmla="*/ 1443038 h 1788319"/>
            <a:gd name="connsiteX13" fmla="*/ 1404938 w 4126774"/>
            <a:gd name="connsiteY13" fmla="*/ 1419225 h 1788319"/>
            <a:gd name="connsiteX14" fmla="*/ 1381125 w 4126774"/>
            <a:gd name="connsiteY14" fmla="*/ 1443038 h 1788319"/>
            <a:gd name="connsiteX15" fmla="*/ 1226344 w 4126774"/>
            <a:gd name="connsiteY15" fmla="*/ 1395413 h 1788319"/>
            <a:gd name="connsiteX16" fmla="*/ 1090987 w 4126774"/>
            <a:gd name="connsiteY16" fmla="*/ 1300164 h 1788319"/>
            <a:gd name="connsiteX17" fmla="*/ 881063 w 4126774"/>
            <a:gd name="connsiteY17" fmla="*/ 1204913 h 1788319"/>
            <a:gd name="connsiteX18" fmla="*/ 559594 w 4126774"/>
            <a:gd name="connsiteY18" fmla="*/ 1204913 h 1788319"/>
            <a:gd name="connsiteX19" fmla="*/ 333375 w 4126774"/>
            <a:gd name="connsiteY19" fmla="*/ 1145381 h 1788319"/>
            <a:gd name="connsiteX20" fmla="*/ 163649 w 4126774"/>
            <a:gd name="connsiteY20" fmla="*/ 1159670 h 1788319"/>
            <a:gd name="connsiteX21" fmla="*/ 0 w 4126774"/>
            <a:gd name="connsiteY21" fmla="*/ 1169194 h 1788319"/>
            <a:gd name="connsiteX22" fmla="*/ 50903 w 4126774"/>
            <a:gd name="connsiteY22" fmla="*/ 4762 h 1788319"/>
            <a:gd name="connsiteX0" fmla="*/ 50903 w 4126774"/>
            <a:gd name="connsiteY0" fmla="*/ 4762 h 1788319"/>
            <a:gd name="connsiteX1" fmla="*/ 3802981 w 4126774"/>
            <a:gd name="connsiteY1" fmla="*/ 0 h 1788319"/>
            <a:gd name="connsiteX2" fmla="*/ 2698072 w 4126774"/>
            <a:gd name="connsiteY2" fmla="*/ 719138 h 1788319"/>
            <a:gd name="connsiteX3" fmla="*/ 1835983 w 4126774"/>
            <a:gd name="connsiteY3" fmla="*/ 590549 h 1788319"/>
            <a:gd name="connsiteX4" fmla="*/ 1738313 w 4126774"/>
            <a:gd name="connsiteY4" fmla="*/ 478631 h 1788319"/>
            <a:gd name="connsiteX5" fmla="*/ 1607344 w 4126774"/>
            <a:gd name="connsiteY5" fmla="*/ 478631 h 1788319"/>
            <a:gd name="connsiteX6" fmla="*/ 1580492 w 4126774"/>
            <a:gd name="connsiteY6" fmla="*/ 528637 h 1788319"/>
            <a:gd name="connsiteX7" fmla="*/ 1726407 w 4126774"/>
            <a:gd name="connsiteY7" fmla="*/ 538163 h 1788319"/>
            <a:gd name="connsiteX8" fmla="*/ 1797844 w 4126774"/>
            <a:gd name="connsiteY8" fmla="*/ 657225 h 1788319"/>
            <a:gd name="connsiteX9" fmla="*/ 4126774 w 4126774"/>
            <a:gd name="connsiteY9" fmla="*/ 1004887 h 1788319"/>
            <a:gd name="connsiteX10" fmla="*/ 4119563 w 4126774"/>
            <a:gd name="connsiteY10" fmla="*/ 1788319 h 1788319"/>
            <a:gd name="connsiteX11" fmla="*/ 1690688 w 4126774"/>
            <a:gd name="connsiteY11" fmla="*/ 1395413 h 1788319"/>
            <a:gd name="connsiteX12" fmla="*/ 1535907 w 4126774"/>
            <a:gd name="connsiteY12" fmla="*/ 1443038 h 1788319"/>
            <a:gd name="connsiteX13" fmla="*/ 1404938 w 4126774"/>
            <a:gd name="connsiteY13" fmla="*/ 1419225 h 1788319"/>
            <a:gd name="connsiteX14" fmla="*/ 1381125 w 4126774"/>
            <a:gd name="connsiteY14" fmla="*/ 1443038 h 1788319"/>
            <a:gd name="connsiteX15" fmla="*/ 1226344 w 4126774"/>
            <a:gd name="connsiteY15" fmla="*/ 1395413 h 1788319"/>
            <a:gd name="connsiteX16" fmla="*/ 1090987 w 4126774"/>
            <a:gd name="connsiteY16" fmla="*/ 1300164 h 1788319"/>
            <a:gd name="connsiteX17" fmla="*/ 881063 w 4126774"/>
            <a:gd name="connsiteY17" fmla="*/ 1204913 h 1788319"/>
            <a:gd name="connsiteX18" fmla="*/ 559594 w 4126774"/>
            <a:gd name="connsiteY18" fmla="*/ 1204913 h 1788319"/>
            <a:gd name="connsiteX19" fmla="*/ 333375 w 4126774"/>
            <a:gd name="connsiteY19" fmla="*/ 1145381 h 1788319"/>
            <a:gd name="connsiteX20" fmla="*/ 163649 w 4126774"/>
            <a:gd name="connsiteY20" fmla="*/ 1138239 h 1788319"/>
            <a:gd name="connsiteX21" fmla="*/ 0 w 4126774"/>
            <a:gd name="connsiteY21" fmla="*/ 1169194 h 1788319"/>
            <a:gd name="connsiteX22" fmla="*/ 50903 w 4126774"/>
            <a:gd name="connsiteY22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74355 w 4103057"/>
            <a:gd name="connsiteY2" fmla="*/ 719138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4103057 w 4103057"/>
            <a:gd name="connsiteY9" fmla="*/ 1004887 h 1788319"/>
            <a:gd name="connsiteX10" fmla="*/ 4095846 w 4103057"/>
            <a:gd name="connsiteY10" fmla="*/ 1788319 h 1788319"/>
            <a:gd name="connsiteX11" fmla="*/ 1666971 w 4103057"/>
            <a:gd name="connsiteY11" fmla="*/ 1395413 h 1788319"/>
            <a:gd name="connsiteX12" fmla="*/ 1512190 w 4103057"/>
            <a:gd name="connsiteY12" fmla="*/ 1443038 h 1788319"/>
            <a:gd name="connsiteX13" fmla="*/ 1381221 w 4103057"/>
            <a:gd name="connsiteY13" fmla="*/ 1419225 h 1788319"/>
            <a:gd name="connsiteX14" fmla="*/ 1357408 w 4103057"/>
            <a:gd name="connsiteY14" fmla="*/ 1443038 h 1788319"/>
            <a:gd name="connsiteX15" fmla="*/ 1202627 w 4103057"/>
            <a:gd name="connsiteY15" fmla="*/ 1395413 h 1788319"/>
            <a:gd name="connsiteX16" fmla="*/ 1067270 w 4103057"/>
            <a:gd name="connsiteY16" fmla="*/ 1300164 h 1788319"/>
            <a:gd name="connsiteX17" fmla="*/ 857346 w 4103057"/>
            <a:gd name="connsiteY17" fmla="*/ 1204913 h 1788319"/>
            <a:gd name="connsiteX18" fmla="*/ 535877 w 4103057"/>
            <a:gd name="connsiteY18" fmla="*/ 1204913 h 1788319"/>
            <a:gd name="connsiteX19" fmla="*/ 309658 w 4103057"/>
            <a:gd name="connsiteY19" fmla="*/ 1145381 h 1788319"/>
            <a:gd name="connsiteX20" fmla="*/ 139932 w 4103057"/>
            <a:gd name="connsiteY20" fmla="*/ 1138239 h 1788319"/>
            <a:gd name="connsiteX21" fmla="*/ 0 w 4103057"/>
            <a:gd name="connsiteY21" fmla="*/ 1159669 h 1788319"/>
            <a:gd name="connsiteX22" fmla="*/ 27186 w 4103057"/>
            <a:gd name="connsiteY22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74355 w 4103057"/>
            <a:gd name="connsiteY2" fmla="*/ 719138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3901 w 4103057"/>
            <a:gd name="connsiteY9" fmla="*/ 69770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1221 w 4103057"/>
            <a:gd name="connsiteY14" fmla="*/ 1419225 h 1788319"/>
            <a:gd name="connsiteX15" fmla="*/ 1357408 w 4103057"/>
            <a:gd name="connsiteY15" fmla="*/ 1443038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74355 w 4103057"/>
            <a:gd name="connsiteY2" fmla="*/ 719138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1221 w 4103057"/>
            <a:gd name="connsiteY14" fmla="*/ 1419225 h 1788319"/>
            <a:gd name="connsiteX15" fmla="*/ 1357408 w 4103057"/>
            <a:gd name="connsiteY15" fmla="*/ 1443038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702815 w 4103057"/>
            <a:gd name="connsiteY2" fmla="*/ 719138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1221 w 4103057"/>
            <a:gd name="connsiteY14" fmla="*/ 1419225 h 1788319"/>
            <a:gd name="connsiteX15" fmla="*/ 1357408 w 4103057"/>
            <a:gd name="connsiteY15" fmla="*/ 1443038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1221 w 4103057"/>
            <a:gd name="connsiteY14" fmla="*/ 1419225 h 1788319"/>
            <a:gd name="connsiteX15" fmla="*/ 1357408 w 4103057"/>
            <a:gd name="connsiteY15" fmla="*/ 1443038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1221 w 4103057"/>
            <a:gd name="connsiteY14" fmla="*/ 1419225 h 1788319"/>
            <a:gd name="connsiteX15" fmla="*/ 1376382 w 4103057"/>
            <a:gd name="connsiteY15" fmla="*/ 1452563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12190 w 4103057"/>
            <a:gd name="connsiteY13" fmla="*/ 1443038 h 1788319"/>
            <a:gd name="connsiteX14" fmla="*/ 1388337 w 4103057"/>
            <a:gd name="connsiteY14" fmla="*/ 1419225 h 1788319"/>
            <a:gd name="connsiteX15" fmla="*/ 1376382 w 4103057"/>
            <a:gd name="connsiteY15" fmla="*/ 1452563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66971 w 4103057"/>
            <a:gd name="connsiteY12" fmla="*/ 1395413 h 1788319"/>
            <a:gd name="connsiteX13" fmla="*/ 1543022 w 4103057"/>
            <a:gd name="connsiteY13" fmla="*/ 1445419 h 1788319"/>
            <a:gd name="connsiteX14" fmla="*/ 1388337 w 4103057"/>
            <a:gd name="connsiteY14" fmla="*/ 1419225 h 1788319"/>
            <a:gd name="connsiteX15" fmla="*/ 1376382 w 4103057"/>
            <a:gd name="connsiteY15" fmla="*/ 1452563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85945 w 4103057"/>
            <a:gd name="connsiteY12" fmla="*/ 1395413 h 1788319"/>
            <a:gd name="connsiteX13" fmla="*/ 1543022 w 4103057"/>
            <a:gd name="connsiteY13" fmla="*/ 1445419 h 1788319"/>
            <a:gd name="connsiteX14" fmla="*/ 1388337 w 4103057"/>
            <a:gd name="connsiteY14" fmla="*/ 1419225 h 1788319"/>
            <a:gd name="connsiteX15" fmla="*/ 1376382 w 4103057"/>
            <a:gd name="connsiteY15" fmla="*/ 1452563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1857049 w 4103057"/>
            <a:gd name="connsiteY9" fmla="*/ 661989 h 1788319"/>
            <a:gd name="connsiteX10" fmla="*/ 2051529 w 4103057"/>
            <a:gd name="connsiteY10" fmla="*/ 678658 h 1788319"/>
            <a:gd name="connsiteX11" fmla="*/ 4103057 w 4103057"/>
            <a:gd name="connsiteY11" fmla="*/ 1004887 h 1788319"/>
            <a:gd name="connsiteX12" fmla="*/ 4095846 w 4103057"/>
            <a:gd name="connsiteY12" fmla="*/ 1788319 h 1788319"/>
            <a:gd name="connsiteX13" fmla="*/ 1685945 w 4103057"/>
            <a:gd name="connsiteY13" fmla="*/ 1395413 h 1788319"/>
            <a:gd name="connsiteX14" fmla="*/ 1543022 w 4103057"/>
            <a:gd name="connsiteY14" fmla="*/ 1445419 h 1788319"/>
            <a:gd name="connsiteX15" fmla="*/ 1388337 w 4103057"/>
            <a:gd name="connsiteY15" fmla="*/ 1419225 h 1788319"/>
            <a:gd name="connsiteX16" fmla="*/ 1376382 w 4103057"/>
            <a:gd name="connsiteY16" fmla="*/ 1452563 h 1788319"/>
            <a:gd name="connsiteX17" fmla="*/ 1202627 w 4103057"/>
            <a:gd name="connsiteY17" fmla="*/ 1395413 h 1788319"/>
            <a:gd name="connsiteX18" fmla="*/ 1067270 w 4103057"/>
            <a:gd name="connsiteY18" fmla="*/ 1300164 h 1788319"/>
            <a:gd name="connsiteX19" fmla="*/ 857346 w 4103057"/>
            <a:gd name="connsiteY19" fmla="*/ 1204913 h 1788319"/>
            <a:gd name="connsiteX20" fmla="*/ 535877 w 4103057"/>
            <a:gd name="connsiteY20" fmla="*/ 1204913 h 1788319"/>
            <a:gd name="connsiteX21" fmla="*/ 309658 w 4103057"/>
            <a:gd name="connsiteY21" fmla="*/ 1145381 h 1788319"/>
            <a:gd name="connsiteX22" fmla="*/ 139932 w 4103057"/>
            <a:gd name="connsiteY22" fmla="*/ 1138239 h 1788319"/>
            <a:gd name="connsiteX23" fmla="*/ 0 w 4103057"/>
            <a:gd name="connsiteY23" fmla="*/ 1159669 h 1788319"/>
            <a:gd name="connsiteX24" fmla="*/ 27186 w 4103057"/>
            <a:gd name="connsiteY24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56775 w 4103057"/>
            <a:gd name="connsiteY6" fmla="*/ 528637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1857049 w 4103057"/>
            <a:gd name="connsiteY9" fmla="*/ 647702 h 1788319"/>
            <a:gd name="connsiteX10" fmla="*/ 2051529 w 4103057"/>
            <a:gd name="connsiteY10" fmla="*/ 678658 h 1788319"/>
            <a:gd name="connsiteX11" fmla="*/ 4103057 w 4103057"/>
            <a:gd name="connsiteY11" fmla="*/ 1004887 h 1788319"/>
            <a:gd name="connsiteX12" fmla="*/ 4095846 w 4103057"/>
            <a:gd name="connsiteY12" fmla="*/ 1788319 h 1788319"/>
            <a:gd name="connsiteX13" fmla="*/ 1685945 w 4103057"/>
            <a:gd name="connsiteY13" fmla="*/ 1395413 h 1788319"/>
            <a:gd name="connsiteX14" fmla="*/ 1543022 w 4103057"/>
            <a:gd name="connsiteY14" fmla="*/ 1445419 h 1788319"/>
            <a:gd name="connsiteX15" fmla="*/ 1388337 w 4103057"/>
            <a:gd name="connsiteY15" fmla="*/ 1419225 h 1788319"/>
            <a:gd name="connsiteX16" fmla="*/ 1376382 w 4103057"/>
            <a:gd name="connsiteY16" fmla="*/ 1452563 h 1788319"/>
            <a:gd name="connsiteX17" fmla="*/ 1202627 w 4103057"/>
            <a:gd name="connsiteY17" fmla="*/ 1395413 h 1788319"/>
            <a:gd name="connsiteX18" fmla="*/ 1067270 w 4103057"/>
            <a:gd name="connsiteY18" fmla="*/ 1300164 h 1788319"/>
            <a:gd name="connsiteX19" fmla="*/ 857346 w 4103057"/>
            <a:gd name="connsiteY19" fmla="*/ 1204913 h 1788319"/>
            <a:gd name="connsiteX20" fmla="*/ 535877 w 4103057"/>
            <a:gd name="connsiteY20" fmla="*/ 1204913 h 1788319"/>
            <a:gd name="connsiteX21" fmla="*/ 309658 w 4103057"/>
            <a:gd name="connsiteY21" fmla="*/ 1145381 h 1788319"/>
            <a:gd name="connsiteX22" fmla="*/ 139932 w 4103057"/>
            <a:gd name="connsiteY22" fmla="*/ 1138239 h 1788319"/>
            <a:gd name="connsiteX23" fmla="*/ 0 w 4103057"/>
            <a:gd name="connsiteY23" fmla="*/ 1159669 h 1788319"/>
            <a:gd name="connsiteX24" fmla="*/ 27186 w 4103057"/>
            <a:gd name="connsiteY24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71005 w 4103057"/>
            <a:gd name="connsiteY6" fmla="*/ 531018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1857049 w 4103057"/>
            <a:gd name="connsiteY9" fmla="*/ 647702 h 1788319"/>
            <a:gd name="connsiteX10" fmla="*/ 2051529 w 4103057"/>
            <a:gd name="connsiteY10" fmla="*/ 678658 h 1788319"/>
            <a:gd name="connsiteX11" fmla="*/ 4103057 w 4103057"/>
            <a:gd name="connsiteY11" fmla="*/ 1004887 h 1788319"/>
            <a:gd name="connsiteX12" fmla="*/ 4095846 w 4103057"/>
            <a:gd name="connsiteY12" fmla="*/ 1788319 h 1788319"/>
            <a:gd name="connsiteX13" fmla="*/ 1685945 w 4103057"/>
            <a:gd name="connsiteY13" fmla="*/ 1395413 h 1788319"/>
            <a:gd name="connsiteX14" fmla="*/ 1543022 w 4103057"/>
            <a:gd name="connsiteY14" fmla="*/ 1445419 h 1788319"/>
            <a:gd name="connsiteX15" fmla="*/ 1388337 w 4103057"/>
            <a:gd name="connsiteY15" fmla="*/ 1419225 h 1788319"/>
            <a:gd name="connsiteX16" fmla="*/ 1376382 w 4103057"/>
            <a:gd name="connsiteY16" fmla="*/ 1452563 h 1788319"/>
            <a:gd name="connsiteX17" fmla="*/ 1202627 w 4103057"/>
            <a:gd name="connsiteY17" fmla="*/ 1395413 h 1788319"/>
            <a:gd name="connsiteX18" fmla="*/ 1067270 w 4103057"/>
            <a:gd name="connsiteY18" fmla="*/ 1300164 h 1788319"/>
            <a:gd name="connsiteX19" fmla="*/ 857346 w 4103057"/>
            <a:gd name="connsiteY19" fmla="*/ 1204913 h 1788319"/>
            <a:gd name="connsiteX20" fmla="*/ 535877 w 4103057"/>
            <a:gd name="connsiteY20" fmla="*/ 1204913 h 1788319"/>
            <a:gd name="connsiteX21" fmla="*/ 309658 w 4103057"/>
            <a:gd name="connsiteY21" fmla="*/ 1145381 h 1788319"/>
            <a:gd name="connsiteX22" fmla="*/ 139932 w 4103057"/>
            <a:gd name="connsiteY22" fmla="*/ 1138239 h 1788319"/>
            <a:gd name="connsiteX23" fmla="*/ 0 w 4103057"/>
            <a:gd name="connsiteY23" fmla="*/ 1159669 h 1788319"/>
            <a:gd name="connsiteX24" fmla="*/ 27186 w 4103057"/>
            <a:gd name="connsiteY24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3627 w 4103057"/>
            <a:gd name="connsiteY5" fmla="*/ 478631 h 1788319"/>
            <a:gd name="connsiteX6" fmla="*/ 1580492 w 4103057"/>
            <a:gd name="connsiteY6" fmla="*/ 531018 h 1788319"/>
            <a:gd name="connsiteX7" fmla="*/ 1702690 w 4103057"/>
            <a:gd name="connsiteY7" fmla="*/ 538163 h 1788319"/>
            <a:gd name="connsiteX8" fmla="*/ 1774127 w 4103057"/>
            <a:gd name="connsiteY8" fmla="*/ 657225 h 1788319"/>
            <a:gd name="connsiteX9" fmla="*/ 1857049 w 4103057"/>
            <a:gd name="connsiteY9" fmla="*/ 647702 h 1788319"/>
            <a:gd name="connsiteX10" fmla="*/ 2051529 w 4103057"/>
            <a:gd name="connsiteY10" fmla="*/ 678658 h 1788319"/>
            <a:gd name="connsiteX11" fmla="*/ 4103057 w 4103057"/>
            <a:gd name="connsiteY11" fmla="*/ 1004887 h 1788319"/>
            <a:gd name="connsiteX12" fmla="*/ 4095846 w 4103057"/>
            <a:gd name="connsiteY12" fmla="*/ 1788319 h 1788319"/>
            <a:gd name="connsiteX13" fmla="*/ 1685945 w 4103057"/>
            <a:gd name="connsiteY13" fmla="*/ 1395413 h 1788319"/>
            <a:gd name="connsiteX14" fmla="*/ 1543022 w 4103057"/>
            <a:gd name="connsiteY14" fmla="*/ 1445419 h 1788319"/>
            <a:gd name="connsiteX15" fmla="*/ 1388337 w 4103057"/>
            <a:gd name="connsiteY15" fmla="*/ 1419225 h 1788319"/>
            <a:gd name="connsiteX16" fmla="*/ 1376382 w 4103057"/>
            <a:gd name="connsiteY16" fmla="*/ 1452563 h 1788319"/>
            <a:gd name="connsiteX17" fmla="*/ 1202627 w 4103057"/>
            <a:gd name="connsiteY17" fmla="*/ 1395413 h 1788319"/>
            <a:gd name="connsiteX18" fmla="*/ 1067270 w 4103057"/>
            <a:gd name="connsiteY18" fmla="*/ 1300164 h 1788319"/>
            <a:gd name="connsiteX19" fmla="*/ 857346 w 4103057"/>
            <a:gd name="connsiteY19" fmla="*/ 1204913 h 1788319"/>
            <a:gd name="connsiteX20" fmla="*/ 535877 w 4103057"/>
            <a:gd name="connsiteY20" fmla="*/ 1204913 h 1788319"/>
            <a:gd name="connsiteX21" fmla="*/ 309658 w 4103057"/>
            <a:gd name="connsiteY21" fmla="*/ 1145381 h 1788319"/>
            <a:gd name="connsiteX22" fmla="*/ 139932 w 4103057"/>
            <a:gd name="connsiteY22" fmla="*/ 1138239 h 1788319"/>
            <a:gd name="connsiteX23" fmla="*/ 0 w 4103057"/>
            <a:gd name="connsiteY23" fmla="*/ 1159669 h 1788319"/>
            <a:gd name="connsiteX24" fmla="*/ 27186 w 4103057"/>
            <a:gd name="connsiteY24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580492 w 4103057"/>
            <a:gd name="connsiteY5" fmla="*/ 531018 h 1788319"/>
            <a:gd name="connsiteX6" fmla="*/ 1702690 w 4103057"/>
            <a:gd name="connsiteY6" fmla="*/ 538163 h 1788319"/>
            <a:gd name="connsiteX7" fmla="*/ 1774127 w 4103057"/>
            <a:gd name="connsiteY7" fmla="*/ 657225 h 1788319"/>
            <a:gd name="connsiteX8" fmla="*/ 1857049 w 4103057"/>
            <a:gd name="connsiteY8" fmla="*/ 647702 h 1788319"/>
            <a:gd name="connsiteX9" fmla="*/ 2051529 w 4103057"/>
            <a:gd name="connsiteY9" fmla="*/ 678658 h 1788319"/>
            <a:gd name="connsiteX10" fmla="*/ 4103057 w 4103057"/>
            <a:gd name="connsiteY10" fmla="*/ 1004887 h 1788319"/>
            <a:gd name="connsiteX11" fmla="*/ 4095846 w 4103057"/>
            <a:gd name="connsiteY11" fmla="*/ 1788319 h 1788319"/>
            <a:gd name="connsiteX12" fmla="*/ 1685945 w 4103057"/>
            <a:gd name="connsiteY12" fmla="*/ 1395413 h 1788319"/>
            <a:gd name="connsiteX13" fmla="*/ 1543022 w 4103057"/>
            <a:gd name="connsiteY13" fmla="*/ 1445419 h 1788319"/>
            <a:gd name="connsiteX14" fmla="*/ 1388337 w 4103057"/>
            <a:gd name="connsiteY14" fmla="*/ 1419225 h 1788319"/>
            <a:gd name="connsiteX15" fmla="*/ 1376382 w 4103057"/>
            <a:gd name="connsiteY15" fmla="*/ 1452563 h 1788319"/>
            <a:gd name="connsiteX16" fmla="*/ 1202627 w 4103057"/>
            <a:gd name="connsiteY16" fmla="*/ 1395413 h 1788319"/>
            <a:gd name="connsiteX17" fmla="*/ 1067270 w 4103057"/>
            <a:gd name="connsiteY17" fmla="*/ 1300164 h 1788319"/>
            <a:gd name="connsiteX18" fmla="*/ 857346 w 4103057"/>
            <a:gd name="connsiteY18" fmla="*/ 1204913 h 1788319"/>
            <a:gd name="connsiteX19" fmla="*/ 535877 w 4103057"/>
            <a:gd name="connsiteY19" fmla="*/ 1204913 h 1788319"/>
            <a:gd name="connsiteX20" fmla="*/ 309658 w 4103057"/>
            <a:gd name="connsiteY20" fmla="*/ 1145381 h 1788319"/>
            <a:gd name="connsiteX21" fmla="*/ 139932 w 4103057"/>
            <a:gd name="connsiteY21" fmla="*/ 1138239 h 1788319"/>
            <a:gd name="connsiteX22" fmla="*/ 0 w 4103057"/>
            <a:gd name="connsiteY22" fmla="*/ 1159669 h 1788319"/>
            <a:gd name="connsiteX23" fmla="*/ 27186 w 4103057"/>
            <a:gd name="connsiteY23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702690 w 4103057"/>
            <a:gd name="connsiteY5" fmla="*/ 538163 h 1788319"/>
            <a:gd name="connsiteX6" fmla="*/ 1774127 w 4103057"/>
            <a:gd name="connsiteY6" fmla="*/ 657225 h 1788319"/>
            <a:gd name="connsiteX7" fmla="*/ 1857049 w 4103057"/>
            <a:gd name="connsiteY7" fmla="*/ 647702 h 1788319"/>
            <a:gd name="connsiteX8" fmla="*/ 2051529 w 4103057"/>
            <a:gd name="connsiteY8" fmla="*/ 678658 h 1788319"/>
            <a:gd name="connsiteX9" fmla="*/ 4103057 w 4103057"/>
            <a:gd name="connsiteY9" fmla="*/ 1004887 h 1788319"/>
            <a:gd name="connsiteX10" fmla="*/ 4095846 w 4103057"/>
            <a:gd name="connsiteY10" fmla="*/ 1788319 h 1788319"/>
            <a:gd name="connsiteX11" fmla="*/ 1685945 w 4103057"/>
            <a:gd name="connsiteY11" fmla="*/ 1395413 h 1788319"/>
            <a:gd name="connsiteX12" fmla="*/ 1543022 w 4103057"/>
            <a:gd name="connsiteY12" fmla="*/ 1445419 h 1788319"/>
            <a:gd name="connsiteX13" fmla="*/ 1388337 w 4103057"/>
            <a:gd name="connsiteY13" fmla="*/ 1419225 h 1788319"/>
            <a:gd name="connsiteX14" fmla="*/ 1376382 w 4103057"/>
            <a:gd name="connsiteY14" fmla="*/ 1452563 h 1788319"/>
            <a:gd name="connsiteX15" fmla="*/ 1202627 w 4103057"/>
            <a:gd name="connsiteY15" fmla="*/ 1395413 h 1788319"/>
            <a:gd name="connsiteX16" fmla="*/ 1067270 w 4103057"/>
            <a:gd name="connsiteY16" fmla="*/ 1300164 h 1788319"/>
            <a:gd name="connsiteX17" fmla="*/ 857346 w 4103057"/>
            <a:gd name="connsiteY17" fmla="*/ 1204913 h 1788319"/>
            <a:gd name="connsiteX18" fmla="*/ 535877 w 4103057"/>
            <a:gd name="connsiteY18" fmla="*/ 1204913 h 1788319"/>
            <a:gd name="connsiteX19" fmla="*/ 309658 w 4103057"/>
            <a:gd name="connsiteY19" fmla="*/ 1145381 h 1788319"/>
            <a:gd name="connsiteX20" fmla="*/ 139932 w 4103057"/>
            <a:gd name="connsiteY20" fmla="*/ 1138239 h 1788319"/>
            <a:gd name="connsiteX21" fmla="*/ 0 w 4103057"/>
            <a:gd name="connsiteY21" fmla="*/ 1159669 h 1788319"/>
            <a:gd name="connsiteX22" fmla="*/ 27186 w 4103057"/>
            <a:gd name="connsiteY22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14596 w 4103057"/>
            <a:gd name="connsiteY4" fmla="*/ 478631 h 1788319"/>
            <a:gd name="connsiteX5" fmla="*/ 1702690 w 4103057"/>
            <a:gd name="connsiteY5" fmla="*/ 538163 h 1788319"/>
            <a:gd name="connsiteX6" fmla="*/ 1712464 w 4103057"/>
            <a:gd name="connsiteY6" fmla="*/ 616744 h 1788319"/>
            <a:gd name="connsiteX7" fmla="*/ 1857049 w 4103057"/>
            <a:gd name="connsiteY7" fmla="*/ 647702 h 1788319"/>
            <a:gd name="connsiteX8" fmla="*/ 2051529 w 4103057"/>
            <a:gd name="connsiteY8" fmla="*/ 678658 h 1788319"/>
            <a:gd name="connsiteX9" fmla="*/ 4103057 w 4103057"/>
            <a:gd name="connsiteY9" fmla="*/ 1004887 h 1788319"/>
            <a:gd name="connsiteX10" fmla="*/ 4095846 w 4103057"/>
            <a:gd name="connsiteY10" fmla="*/ 1788319 h 1788319"/>
            <a:gd name="connsiteX11" fmla="*/ 1685945 w 4103057"/>
            <a:gd name="connsiteY11" fmla="*/ 1395413 h 1788319"/>
            <a:gd name="connsiteX12" fmla="*/ 1543022 w 4103057"/>
            <a:gd name="connsiteY12" fmla="*/ 1445419 h 1788319"/>
            <a:gd name="connsiteX13" fmla="*/ 1388337 w 4103057"/>
            <a:gd name="connsiteY13" fmla="*/ 1419225 h 1788319"/>
            <a:gd name="connsiteX14" fmla="*/ 1376382 w 4103057"/>
            <a:gd name="connsiteY14" fmla="*/ 1452563 h 1788319"/>
            <a:gd name="connsiteX15" fmla="*/ 1202627 w 4103057"/>
            <a:gd name="connsiteY15" fmla="*/ 1395413 h 1788319"/>
            <a:gd name="connsiteX16" fmla="*/ 1067270 w 4103057"/>
            <a:gd name="connsiteY16" fmla="*/ 1300164 h 1788319"/>
            <a:gd name="connsiteX17" fmla="*/ 857346 w 4103057"/>
            <a:gd name="connsiteY17" fmla="*/ 1204913 h 1788319"/>
            <a:gd name="connsiteX18" fmla="*/ 535877 w 4103057"/>
            <a:gd name="connsiteY18" fmla="*/ 1204913 h 1788319"/>
            <a:gd name="connsiteX19" fmla="*/ 309658 w 4103057"/>
            <a:gd name="connsiteY19" fmla="*/ 1145381 h 1788319"/>
            <a:gd name="connsiteX20" fmla="*/ 139932 w 4103057"/>
            <a:gd name="connsiteY20" fmla="*/ 1138239 h 1788319"/>
            <a:gd name="connsiteX21" fmla="*/ 0 w 4103057"/>
            <a:gd name="connsiteY21" fmla="*/ 1159669 h 1788319"/>
            <a:gd name="connsiteX22" fmla="*/ 27186 w 4103057"/>
            <a:gd name="connsiteY22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26454 w 4103057"/>
            <a:gd name="connsiteY4" fmla="*/ 557212 h 1788319"/>
            <a:gd name="connsiteX5" fmla="*/ 1702690 w 4103057"/>
            <a:gd name="connsiteY5" fmla="*/ 538163 h 1788319"/>
            <a:gd name="connsiteX6" fmla="*/ 1712464 w 4103057"/>
            <a:gd name="connsiteY6" fmla="*/ 616744 h 1788319"/>
            <a:gd name="connsiteX7" fmla="*/ 1857049 w 4103057"/>
            <a:gd name="connsiteY7" fmla="*/ 647702 h 1788319"/>
            <a:gd name="connsiteX8" fmla="*/ 2051529 w 4103057"/>
            <a:gd name="connsiteY8" fmla="*/ 678658 h 1788319"/>
            <a:gd name="connsiteX9" fmla="*/ 4103057 w 4103057"/>
            <a:gd name="connsiteY9" fmla="*/ 1004887 h 1788319"/>
            <a:gd name="connsiteX10" fmla="*/ 4095846 w 4103057"/>
            <a:gd name="connsiteY10" fmla="*/ 1788319 h 1788319"/>
            <a:gd name="connsiteX11" fmla="*/ 1685945 w 4103057"/>
            <a:gd name="connsiteY11" fmla="*/ 1395413 h 1788319"/>
            <a:gd name="connsiteX12" fmla="*/ 1543022 w 4103057"/>
            <a:gd name="connsiteY12" fmla="*/ 1445419 h 1788319"/>
            <a:gd name="connsiteX13" fmla="*/ 1388337 w 4103057"/>
            <a:gd name="connsiteY13" fmla="*/ 1419225 h 1788319"/>
            <a:gd name="connsiteX14" fmla="*/ 1376382 w 4103057"/>
            <a:gd name="connsiteY14" fmla="*/ 1452563 h 1788319"/>
            <a:gd name="connsiteX15" fmla="*/ 1202627 w 4103057"/>
            <a:gd name="connsiteY15" fmla="*/ 1395413 h 1788319"/>
            <a:gd name="connsiteX16" fmla="*/ 1067270 w 4103057"/>
            <a:gd name="connsiteY16" fmla="*/ 1300164 h 1788319"/>
            <a:gd name="connsiteX17" fmla="*/ 857346 w 4103057"/>
            <a:gd name="connsiteY17" fmla="*/ 1204913 h 1788319"/>
            <a:gd name="connsiteX18" fmla="*/ 535877 w 4103057"/>
            <a:gd name="connsiteY18" fmla="*/ 1204913 h 1788319"/>
            <a:gd name="connsiteX19" fmla="*/ 309658 w 4103057"/>
            <a:gd name="connsiteY19" fmla="*/ 1145381 h 1788319"/>
            <a:gd name="connsiteX20" fmla="*/ 139932 w 4103057"/>
            <a:gd name="connsiteY20" fmla="*/ 1138239 h 1788319"/>
            <a:gd name="connsiteX21" fmla="*/ 0 w 4103057"/>
            <a:gd name="connsiteY21" fmla="*/ 1159669 h 1788319"/>
            <a:gd name="connsiteX22" fmla="*/ 27186 w 4103057"/>
            <a:gd name="connsiteY22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26454 w 4103057"/>
            <a:gd name="connsiteY4" fmla="*/ 557212 h 1788319"/>
            <a:gd name="connsiteX5" fmla="*/ 1712464 w 4103057"/>
            <a:gd name="connsiteY5" fmla="*/ 616744 h 1788319"/>
            <a:gd name="connsiteX6" fmla="*/ 1857049 w 4103057"/>
            <a:gd name="connsiteY6" fmla="*/ 647702 h 1788319"/>
            <a:gd name="connsiteX7" fmla="*/ 2051529 w 4103057"/>
            <a:gd name="connsiteY7" fmla="*/ 678658 h 1788319"/>
            <a:gd name="connsiteX8" fmla="*/ 4103057 w 4103057"/>
            <a:gd name="connsiteY8" fmla="*/ 1004887 h 1788319"/>
            <a:gd name="connsiteX9" fmla="*/ 4095846 w 4103057"/>
            <a:gd name="connsiteY9" fmla="*/ 1788319 h 1788319"/>
            <a:gd name="connsiteX10" fmla="*/ 1685945 w 4103057"/>
            <a:gd name="connsiteY10" fmla="*/ 1395413 h 1788319"/>
            <a:gd name="connsiteX11" fmla="*/ 1543022 w 4103057"/>
            <a:gd name="connsiteY11" fmla="*/ 1445419 h 1788319"/>
            <a:gd name="connsiteX12" fmla="*/ 1388337 w 4103057"/>
            <a:gd name="connsiteY12" fmla="*/ 1419225 h 1788319"/>
            <a:gd name="connsiteX13" fmla="*/ 1376382 w 4103057"/>
            <a:gd name="connsiteY13" fmla="*/ 1452563 h 1788319"/>
            <a:gd name="connsiteX14" fmla="*/ 1202627 w 4103057"/>
            <a:gd name="connsiteY14" fmla="*/ 1395413 h 1788319"/>
            <a:gd name="connsiteX15" fmla="*/ 1067270 w 4103057"/>
            <a:gd name="connsiteY15" fmla="*/ 1300164 h 1788319"/>
            <a:gd name="connsiteX16" fmla="*/ 857346 w 4103057"/>
            <a:gd name="connsiteY16" fmla="*/ 1204913 h 1788319"/>
            <a:gd name="connsiteX17" fmla="*/ 535877 w 4103057"/>
            <a:gd name="connsiteY17" fmla="*/ 1204913 h 1788319"/>
            <a:gd name="connsiteX18" fmla="*/ 309658 w 4103057"/>
            <a:gd name="connsiteY18" fmla="*/ 1145381 h 1788319"/>
            <a:gd name="connsiteX19" fmla="*/ 139932 w 4103057"/>
            <a:gd name="connsiteY19" fmla="*/ 1138239 h 1788319"/>
            <a:gd name="connsiteX20" fmla="*/ 0 w 4103057"/>
            <a:gd name="connsiteY20" fmla="*/ 1159669 h 1788319"/>
            <a:gd name="connsiteX21" fmla="*/ 27186 w 4103057"/>
            <a:gd name="connsiteY21" fmla="*/ 4762 h 1788319"/>
            <a:gd name="connsiteX0" fmla="*/ 27186 w 4103057"/>
            <a:gd name="connsiteY0" fmla="*/ 4762 h 1788319"/>
            <a:gd name="connsiteX1" fmla="*/ 3779264 w 4103057"/>
            <a:gd name="connsiteY1" fmla="*/ 0 h 1788319"/>
            <a:gd name="connsiteX2" fmla="*/ 2683842 w 4103057"/>
            <a:gd name="connsiteY2" fmla="*/ 728663 h 1788319"/>
            <a:gd name="connsiteX3" fmla="*/ 1812266 w 4103057"/>
            <a:gd name="connsiteY3" fmla="*/ 590549 h 1788319"/>
            <a:gd name="connsiteX4" fmla="*/ 1726454 w 4103057"/>
            <a:gd name="connsiteY4" fmla="*/ 557212 h 1788319"/>
            <a:gd name="connsiteX5" fmla="*/ 1712464 w 4103057"/>
            <a:gd name="connsiteY5" fmla="*/ 616744 h 1788319"/>
            <a:gd name="connsiteX6" fmla="*/ 1857049 w 4103057"/>
            <a:gd name="connsiteY6" fmla="*/ 647702 h 1788319"/>
            <a:gd name="connsiteX7" fmla="*/ 2051529 w 4103057"/>
            <a:gd name="connsiteY7" fmla="*/ 671514 h 1788319"/>
            <a:gd name="connsiteX8" fmla="*/ 4103057 w 4103057"/>
            <a:gd name="connsiteY8" fmla="*/ 1004887 h 1788319"/>
            <a:gd name="connsiteX9" fmla="*/ 4095846 w 4103057"/>
            <a:gd name="connsiteY9" fmla="*/ 1788319 h 1788319"/>
            <a:gd name="connsiteX10" fmla="*/ 1685945 w 4103057"/>
            <a:gd name="connsiteY10" fmla="*/ 1395413 h 1788319"/>
            <a:gd name="connsiteX11" fmla="*/ 1543022 w 4103057"/>
            <a:gd name="connsiteY11" fmla="*/ 1445419 h 1788319"/>
            <a:gd name="connsiteX12" fmla="*/ 1388337 w 4103057"/>
            <a:gd name="connsiteY12" fmla="*/ 1419225 h 1788319"/>
            <a:gd name="connsiteX13" fmla="*/ 1376382 w 4103057"/>
            <a:gd name="connsiteY13" fmla="*/ 1452563 h 1788319"/>
            <a:gd name="connsiteX14" fmla="*/ 1202627 w 4103057"/>
            <a:gd name="connsiteY14" fmla="*/ 1395413 h 1788319"/>
            <a:gd name="connsiteX15" fmla="*/ 1067270 w 4103057"/>
            <a:gd name="connsiteY15" fmla="*/ 1300164 h 1788319"/>
            <a:gd name="connsiteX16" fmla="*/ 857346 w 4103057"/>
            <a:gd name="connsiteY16" fmla="*/ 1204913 h 1788319"/>
            <a:gd name="connsiteX17" fmla="*/ 535877 w 4103057"/>
            <a:gd name="connsiteY17" fmla="*/ 1204913 h 1788319"/>
            <a:gd name="connsiteX18" fmla="*/ 309658 w 4103057"/>
            <a:gd name="connsiteY18" fmla="*/ 1145381 h 1788319"/>
            <a:gd name="connsiteX19" fmla="*/ 139932 w 4103057"/>
            <a:gd name="connsiteY19" fmla="*/ 1138239 h 1788319"/>
            <a:gd name="connsiteX20" fmla="*/ 0 w 4103057"/>
            <a:gd name="connsiteY20" fmla="*/ 1159669 h 1788319"/>
            <a:gd name="connsiteX21" fmla="*/ 27186 w 4103057"/>
            <a:gd name="connsiteY21" fmla="*/ 4762 h 1788319"/>
            <a:gd name="connsiteX0" fmla="*/ 27186 w 4103057"/>
            <a:gd name="connsiteY0" fmla="*/ 0 h 1783557"/>
            <a:gd name="connsiteX1" fmla="*/ 3693882 w 4103057"/>
            <a:gd name="connsiteY1" fmla="*/ 40482 h 1783557"/>
            <a:gd name="connsiteX2" fmla="*/ 2683842 w 4103057"/>
            <a:gd name="connsiteY2" fmla="*/ 723901 h 1783557"/>
            <a:gd name="connsiteX3" fmla="*/ 1812266 w 4103057"/>
            <a:gd name="connsiteY3" fmla="*/ 585787 h 1783557"/>
            <a:gd name="connsiteX4" fmla="*/ 1726454 w 4103057"/>
            <a:gd name="connsiteY4" fmla="*/ 552450 h 1783557"/>
            <a:gd name="connsiteX5" fmla="*/ 1712464 w 4103057"/>
            <a:gd name="connsiteY5" fmla="*/ 611982 h 1783557"/>
            <a:gd name="connsiteX6" fmla="*/ 1857049 w 4103057"/>
            <a:gd name="connsiteY6" fmla="*/ 642940 h 1783557"/>
            <a:gd name="connsiteX7" fmla="*/ 2051529 w 4103057"/>
            <a:gd name="connsiteY7" fmla="*/ 666752 h 1783557"/>
            <a:gd name="connsiteX8" fmla="*/ 4103057 w 4103057"/>
            <a:gd name="connsiteY8" fmla="*/ 1000125 h 1783557"/>
            <a:gd name="connsiteX9" fmla="*/ 4095846 w 4103057"/>
            <a:gd name="connsiteY9" fmla="*/ 1783557 h 1783557"/>
            <a:gd name="connsiteX10" fmla="*/ 1685945 w 4103057"/>
            <a:gd name="connsiteY10" fmla="*/ 1390651 h 1783557"/>
            <a:gd name="connsiteX11" fmla="*/ 1543022 w 4103057"/>
            <a:gd name="connsiteY11" fmla="*/ 1440657 h 1783557"/>
            <a:gd name="connsiteX12" fmla="*/ 1388337 w 4103057"/>
            <a:gd name="connsiteY12" fmla="*/ 1414463 h 1783557"/>
            <a:gd name="connsiteX13" fmla="*/ 1376382 w 4103057"/>
            <a:gd name="connsiteY13" fmla="*/ 1447801 h 1783557"/>
            <a:gd name="connsiteX14" fmla="*/ 1202627 w 4103057"/>
            <a:gd name="connsiteY14" fmla="*/ 1390651 h 1783557"/>
            <a:gd name="connsiteX15" fmla="*/ 1067270 w 4103057"/>
            <a:gd name="connsiteY15" fmla="*/ 1295402 h 1783557"/>
            <a:gd name="connsiteX16" fmla="*/ 857346 w 4103057"/>
            <a:gd name="connsiteY16" fmla="*/ 1200151 h 1783557"/>
            <a:gd name="connsiteX17" fmla="*/ 535877 w 4103057"/>
            <a:gd name="connsiteY17" fmla="*/ 1200151 h 1783557"/>
            <a:gd name="connsiteX18" fmla="*/ 309658 w 4103057"/>
            <a:gd name="connsiteY18" fmla="*/ 1140619 h 1783557"/>
            <a:gd name="connsiteX19" fmla="*/ 139932 w 4103057"/>
            <a:gd name="connsiteY19" fmla="*/ 1133477 h 1783557"/>
            <a:gd name="connsiteX20" fmla="*/ 0 w 4103057"/>
            <a:gd name="connsiteY20" fmla="*/ 1154907 h 1783557"/>
            <a:gd name="connsiteX21" fmla="*/ 27186 w 4103057"/>
            <a:gd name="connsiteY21" fmla="*/ 0 h 1783557"/>
            <a:gd name="connsiteX0" fmla="*/ 24815 w 4103057"/>
            <a:gd name="connsiteY0" fmla="*/ 19049 h 1743075"/>
            <a:gd name="connsiteX1" fmla="*/ 3693882 w 4103057"/>
            <a:gd name="connsiteY1" fmla="*/ 0 h 1743075"/>
            <a:gd name="connsiteX2" fmla="*/ 2683842 w 4103057"/>
            <a:gd name="connsiteY2" fmla="*/ 683419 h 1743075"/>
            <a:gd name="connsiteX3" fmla="*/ 1812266 w 4103057"/>
            <a:gd name="connsiteY3" fmla="*/ 545305 h 1743075"/>
            <a:gd name="connsiteX4" fmla="*/ 1726454 w 4103057"/>
            <a:gd name="connsiteY4" fmla="*/ 511968 h 1743075"/>
            <a:gd name="connsiteX5" fmla="*/ 1712464 w 4103057"/>
            <a:gd name="connsiteY5" fmla="*/ 571500 h 1743075"/>
            <a:gd name="connsiteX6" fmla="*/ 1857049 w 4103057"/>
            <a:gd name="connsiteY6" fmla="*/ 602458 h 1743075"/>
            <a:gd name="connsiteX7" fmla="*/ 2051529 w 4103057"/>
            <a:gd name="connsiteY7" fmla="*/ 626270 h 1743075"/>
            <a:gd name="connsiteX8" fmla="*/ 4103057 w 4103057"/>
            <a:gd name="connsiteY8" fmla="*/ 959643 h 1743075"/>
            <a:gd name="connsiteX9" fmla="*/ 4095846 w 4103057"/>
            <a:gd name="connsiteY9" fmla="*/ 1743075 h 1743075"/>
            <a:gd name="connsiteX10" fmla="*/ 1685945 w 4103057"/>
            <a:gd name="connsiteY10" fmla="*/ 1350169 h 1743075"/>
            <a:gd name="connsiteX11" fmla="*/ 1543022 w 4103057"/>
            <a:gd name="connsiteY11" fmla="*/ 1400175 h 1743075"/>
            <a:gd name="connsiteX12" fmla="*/ 1388337 w 4103057"/>
            <a:gd name="connsiteY12" fmla="*/ 1373981 h 1743075"/>
            <a:gd name="connsiteX13" fmla="*/ 1376382 w 4103057"/>
            <a:gd name="connsiteY13" fmla="*/ 1407319 h 1743075"/>
            <a:gd name="connsiteX14" fmla="*/ 1202627 w 4103057"/>
            <a:gd name="connsiteY14" fmla="*/ 1350169 h 1743075"/>
            <a:gd name="connsiteX15" fmla="*/ 1067270 w 4103057"/>
            <a:gd name="connsiteY15" fmla="*/ 1254920 h 1743075"/>
            <a:gd name="connsiteX16" fmla="*/ 857346 w 4103057"/>
            <a:gd name="connsiteY16" fmla="*/ 1159669 h 1743075"/>
            <a:gd name="connsiteX17" fmla="*/ 535877 w 4103057"/>
            <a:gd name="connsiteY17" fmla="*/ 1159669 h 1743075"/>
            <a:gd name="connsiteX18" fmla="*/ 309658 w 4103057"/>
            <a:gd name="connsiteY18" fmla="*/ 1100137 h 1743075"/>
            <a:gd name="connsiteX19" fmla="*/ 139932 w 4103057"/>
            <a:gd name="connsiteY19" fmla="*/ 1092995 h 1743075"/>
            <a:gd name="connsiteX20" fmla="*/ 0 w 4103057"/>
            <a:gd name="connsiteY20" fmla="*/ 1114425 h 1743075"/>
            <a:gd name="connsiteX21" fmla="*/ 24815 w 4103057"/>
            <a:gd name="connsiteY21" fmla="*/ 19049 h 1743075"/>
            <a:gd name="connsiteX0" fmla="*/ 15328 w 4093570"/>
            <a:gd name="connsiteY0" fmla="*/ 19049 h 1743075"/>
            <a:gd name="connsiteX1" fmla="*/ 3684395 w 4093570"/>
            <a:gd name="connsiteY1" fmla="*/ 0 h 1743075"/>
            <a:gd name="connsiteX2" fmla="*/ 2674355 w 4093570"/>
            <a:gd name="connsiteY2" fmla="*/ 683419 h 1743075"/>
            <a:gd name="connsiteX3" fmla="*/ 1802779 w 4093570"/>
            <a:gd name="connsiteY3" fmla="*/ 545305 h 1743075"/>
            <a:gd name="connsiteX4" fmla="*/ 1716967 w 4093570"/>
            <a:gd name="connsiteY4" fmla="*/ 511968 h 1743075"/>
            <a:gd name="connsiteX5" fmla="*/ 1702977 w 4093570"/>
            <a:gd name="connsiteY5" fmla="*/ 571500 h 1743075"/>
            <a:gd name="connsiteX6" fmla="*/ 1847562 w 4093570"/>
            <a:gd name="connsiteY6" fmla="*/ 602458 h 1743075"/>
            <a:gd name="connsiteX7" fmla="*/ 2042042 w 4093570"/>
            <a:gd name="connsiteY7" fmla="*/ 626270 h 1743075"/>
            <a:gd name="connsiteX8" fmla="*/ 4093570 w 4093570"/>
            <a:gd name="connsiteY8" fmla="*/ 959643 h 1743075"/>
            <a:gd name="connsiteX9" fmla="*/ 4086359 w 4093570"/>
            <a:gd name="connsiteY9" fmla="*/ 1743075 h 1743075"/>
            <a:gd name="connsiteX10" fmla="*/ 1676458 w 4093570"/>
            <a:gd name="connsiteY10" fmla="*/ 1350169 h 1743075"/>
            <a:gd name="connsiteX11" fmla="*/ 1533535 w 4093570"/>
            <a:gd name="connsiteY11" fmla="*/ 1400175 h 1743075"/>
            <a:gd name="connsiteX12" fmla="*/ 1378850 w 4093570"/>
            <a:gd name="connsiteY12" fmla="*/ 1373981 h 1743075"/>
            <a:gd name="connsiteX13" fmla="*/ 1366895 w 4093570"/>
            <a:gd name="connsiteY13" fmla="*/ 1407319 h 1743075"/>
            <a:gd name="connsiteX14" fmla="*/ 1193140 w 4093570"/>
            <a:gd name="connsiteY14" fmla="*/ 1350169 h 1743075"/>
            <a:gd name="connsiteX15" fmla="*/ 1057783 w 4093570"/>
            <a:gd name="connsiteY15" fmla="*/ 1254920 h 1743075"/>
            <a:gd name="connsiteX16" fmla="*/ 847859 w 4093570"/>
            <a:gd name="connsiteY16" fmla="*/ 1159669 h 1743075"/>
            <a:gd name="connsiteX17" fmla="*/ 526390 w 4093570"/>
            <a:gd name="connsiteY17" fmla="*/ 1159669 h 1743075"/>
            <a:gd name="connsiteX18" fmla="*/ 300171 w 4093570"/>
            <a:gd name="connsiteY18" fmla="*/ 1100137 h 1743075"/>
            <a:gd name="connsiteX19" fmla="*/ 130445 w 4093570"/>
            <a:gd name="connsiteY19" fmla="*/ 1092995 h 1743075"/>
            <a:gd name="connsiteX20" fmla="*/ 0 w 4093570"/>
            <a:gd name="connsiteY20" fmla="*/ 1047750 h 1743075"/>
            <a:gd name="connsiteX21" fmla="*/ 15328 w 4093570"/>
            <a:gd name="connsiteY21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528761 w 4095941"/>
            <a:gd name="connsiteY17" fmla="*/ 1159669 h 1743075"/>
            <a:gd name="connsiteX18" fmla="*/ 302542 w 4095941"/>
            <a:gd name="connsiteY18" fmla="*/ 1100137 h 1743075"/>
            <a:gd name="connsiteX19" fmla="*/ 132816 w 4095941"/>
            <a:gd name="connsiteY19" fmla="*/ 1092995 h 1743075"/>
            <a:gd name="connsiteX20" fmla="*/ 0 w 4095941"/>
            <a:gd name="connsiteY20" fmla="*/ 1059656 h 1743075"/>
            <a:gd name="connsiteX21" fmla="*/ 17699 w 4095941"/>
            <a:gd name="connsiteY21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528761 w 4095941"/>
            <a:gd name="connsiteY17" fmla="*/ 1159669 h 1743075"/>
            <a:gd name="connsiteX18" fmla="*/ 302542 w 4095941"/>
            <a:gd name="connsiteY18" fmla="*/ 1100137 h 1743075"/>
            <a:gd name="connsiteX19" fmla="*/ 173135 w 4095941"/>
            <a:gd name="connsiteY19" fmla="*/ 1083470 h 1743075"/>
            <a:gd name="connsiteX20" fmla="*/ 0 w 4095941"/>
            <a:gd name="connsiteY20" fmla="*/ 1059656 h 1743075"/>
            <a:gd name="connsiteX21" fmla="*/ 17699 w 4095941"/>
            <a:gd name="connsiteY21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528761 w 4095941"/>
            <a:gd name="connsiteY17" fmla="*/ 1159669 h 1743075"/>
            <a:gd name="connsiteX18" fmla="*/ 333374 w 4095941"/>
            <a:gd name="connsiteY18" fmla="*/ 1028700 h 1743075"/>
            <a:gd name="connsiteX19" fmla="*/ 173135 w 4095941"/>
            <a:gd name="connsiteY19" fmla="*/ 1083470 h 1743075"/>
            <a:gd name="connsiteX20" fmla="*/ 0 w 4095941"/>
            <a:gd name="connsiteY20" fmla="*/ 1059656 h 1743075"/>
            <a:gd name="connsiteX21" fmla="*/ 17699 w 4095941"/>
            <a:gd name="connsiteY21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528761 w 4095941"/>
            <a:gd name="connsiteY17" fmla="*/ 1031081 h 1743075"/>
            <a:gd name="connsiteX18" fmla="*/ 333374 w 4095941"/>
            <a:gd name="connsiteY18" fmla="*/ 1028700 h 1743075"/>
            <a:gd name="connsiteX19" fmla="*/ 173135 w 4095941"/>
            <a:gd name="connsiteY19" fmla="*/ 1083470 h 1743075"/>
            <a:gd name="connsiteX20" fmla="*/ 0 w 4095941"/>
            <a:gd name="connsiteY20" fmla="*/ 1059656 h 1743075"/>
            <a:gd name="connsiteX21" fmla="*/ 17699 w 4095941"/>
            <a:gd name="connsiteY21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706768 w 4095941"/>
            <a:gd name="connsiteY17" fmla="*/ 1107281 h 1743075"/>
            <a:gd name="connsiteX18" fmla="*/ 528761 w 4095941"/>
            <a:gd name="connsiteY18" fmla="*/ 1031081 h 1743075"/>
            <a:gd name="connsiteX19" fmla="*/ 333374 w 4095941"/>
            <a:gd name="connsiteY19" fmla="*/ 1028700 h 1743075"/>
            <a:gd name="connsiteX20" fmla="*/ 173135 w 4095941"/>
            <a:gd name="connsiteY20" fmla="*/ 1083470 h 1743075"/>
            <a:gd name="connsiteX21" fmla="*/ 0 w 4095941"/>
            <a:gd name="connsiteY21" fmla="*/ 1059656 h 1743075"/>
            <a:gd name="connsiteX22" fmla="*/ 17699 w 4095941"/>
            <a:gd name="connsiteY22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59669 h 1743075"/>
            <a:gd name="connsiteX17" fmla="*/ 694909 w 4095941"/>
            <a:gd name="connsiteY17" fmla="*/ 1126331 h 1743075"/>
            <a:gd name="connsiteX18" fmla="*/ 528761 w 4095941"/>
            <a:gd name="connsiteY18" fmla="*/ 1031081 h 1743075"/>
            <a:gd name="connsiteX19" fmla="*/ 333374 w 4095941"/>
            <a:gd name="connsiteY19" fmla="*/ 1028700 h 1743075"/>
            <a:gd name="connsiteX20" fmla="*/ 173135 w 4095941"/>
            <a:gd name="connsiteY20" fmla="*/ 1083470 h 1743075"/>
            <a:gd name="connsiteX21" fmla="*/ 0 w 4095941"/>
            <a:gd name="connsiteY21" fmla="*/ 1059656 h 1743075"/>
            <a:gd name="connsiteX22" fmla="*/ 17699 w 4095941"/>
            <a:gd name="connsiteY22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60154 w 4095941"/>
            <a:gd name="connsiteY15" fmla="*/ 1254920 h 1743075"/>
            <a:gd name="connsiteX16" fmla="*/ 850230 w 4095941"/>
            <a:gd name="connsiteY16" fmla="*/ 1188244 h 1743075"/>
            <a:gd name="connsiteX17" fmla="*/ 694909 w 4095941"/>
            <a:gd name="connsiteY17" fmla="*/ 1126331 h 1743075"/>
            <a:gd name="connsiteX18" fmla="*/ 528761 w 4095941"/>
            <a:gd name="connsiteY18" fmla="*/ 1031081 h 1743075"/>
            <a:gd name="connsiteX19" fmla="*/ 333374 w 4095941"/>
            <a:gd name="connsiteY19" fmla="*/ 1028700 h 1743075"/>
            <a:gd name="connsiteX20" fmla="*/ 173135 w 4095941"/>
            <a:gd name="connsiteY20" fmla="*/ 1083470 h 1743075"/>
            <a:gd name="connsiteX21" fmla="*/ 0 w 4095941"/>
            <a:gd name="connsiteY21" fmla="*/ 1059656 h 1743075"/>
            <a:gd name="connsiteX22" fmla="*/ 17699 w 4095941"/>
            <a:gd name="connsiteY22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36437 w 4095941"/>
            <a:gd name="connsiteY15" fmla="*/ 1197770 h 1743075"/>
            <a:gd name="connsiteX16" fmla="*/ 850230 w 4095941"/>
            <a:gd name="connsiteY16" fmla="*/ 1188244 h 1743075"/>
            <a:gd name="connsiteX17" fmla="*/ 694909 w 4095941"/>
            <a:gd name="connsiteY17" fmla="*/ 1126331 h 1743075"/>
            <a:gd name="connsiteX18" fmla="*/ 528761 w 4095941"/>
            <a:gd name="connsiteY18" fmla="*/ 1031081 h 1743075"/>
            <a:gd name="connsiteX19" fmla="*/ 333374 w 4095941"/>
            <a:gd name="connsiteY19" fmla="*/ 1028700 h 1743075"/>
            <a:gd name="connsiteX20" fmla="*/ 173135 w 4095941"/>
            <a:gd name="connsiteY20" fmla="*/ 1083470 h 1743075"/>
            <a:gd name="connsiteX21" fmla="*/ 0 w 4095941"/>
            <a:gd name="connsiteY21" fmla="*/ 1059656 h 1743075"/>
            <a:gd name="connsiteX22" fmla="*/ 17699 w 4095941"/>
            <a:gd name="connsiteY22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36437 w 4095941"/>
            <a:gd name="connsiteY15" fmla="*/ 1197770 h 1743075"/>
            <a:gd name="connsiteX16" fmla="*/ 958170 w 4095941"/>
            <a:gd name="connsiteY16" fmla="*/ 1197769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195511 w 4095941"/>
            <a:gd name="connsiteY14" fmla="*/ 13501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69266 w 4095941"/>
            <a:gd name="connsiteY13" fmla="*/ 1407319 h 1743075"/>
            <a:gd name="connsiteX14" fmla="*/ 1200254 w 4095941"/>
            <a:gd name="connsiteY14" fmla="*/ 12358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381221 w 4095941"/>
            <a:gd name="connsiteY12" fmla="*/ 1373981 h 1743075"/>
            <a:gd name="connsiteX13" fmla="*/ 1374010 w 4095941"/>
            <a:gd name="connsiteY13" fmla="*/ 1283494 h 1743075"/>
            <a:gd name="connsiteX14" fmla="*/ 1200254 w 4095941"/>
            <a:gd name="connsiteY14" fmla="*/ 12358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35906 w 4095941"/>
            <a:gd name="connsiteY11" fmla="*/ 1400175 h 1743075"/>
            <a:gd name="connsiteX12" fmla="*/ 1518781 w 4095941"/>
            <a:gd name="connsiteY12" fmla="*/ 1352549 h 1743075"/>
            <a:gd name="connsiteX13" fmla="*/ 1374010 w 4095941"/>
            <a:gd name="connsiteY13" fmla="*/ 1283494 h 1743075"/>
            <a:gd name="connsiteX14" fmla="*/ 1200254 w 4095941"/>
            <a:gd name="connsiteY14" fmla="*/ 12358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78829 w 4095941"/>
            <a:gd name="connsiteY10" fmla="*/ 1350169 h 1743075"/>
            <a:gd name="connsiteX11" fmla="*/ 1559623 w 4095941"/>
            <a:gd name="connsiteY11" fmla="*/ 1333500 h 1743075"/>
            <a:gd name="connsiteX12" fmla="*/ 1518781 w 4095941"/>
            <a:gd name="connsiteY12" fmla="*/ 1352549 h 1743075"/>
            <a:gd name="connsiteX13" fmla="*/ 1374010 w 4095941"/>
            <a:gd name="connsiteY13" fmla="*/ 1283494 h 1743075"/>
            <a:gd name="connsiteX14" fmla="*/ 1200254 w 4095941"/>
            <a:gd name="connsiteY14" fmla="*/ 12358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3075"/>
            <a:gd name="connsiteX1" fmla="*/ 3686766 w 4095941"/>
            <a:gd name="connsiteY1" fmla="*/ 0 h 1743075"/>
            <a:gd name="connsiteX2" fmla="*/ 2676726 w 4095941"/>
            <a:gd name="connsiteY2" fmla="*/ 683419 h 1743075"/>
            <a:gd name="connsiteX3" fmla="*/ 1805150 w 4095941"/>
            <a:gd name="connsiteY3" fmla="*/ 545305 h 1743075"/>
            <a:gd name="connsiteX4" fmla="*/ 1719338 w 4095941"/>
            <a:gd name="connsiteY4" fmla="*/ 511968 h 1743075"/>
            <a:gd name="connsiteX5" fmla="*/ 1705348 w 4095941"/>
            <a:gd name="connsiteY5" fmla="*/ 571500 h 1743075"/>
            <a:gd name="connsiteX6" fmla="*/ 1849933 w 4095941"/>
            <a:gd name="connsiteY6" fmla="*/ 602458 h 1743075"/>
            <a:gd name="connsiteX7" fmla="*/ 2044413 w 4095941"/>
            <a:gd name="connsiteY7" fmla="*/ 626270 h 1743075"/>
            <a:gd name="connsiteX8" fmla="*/ 4095941 w 4095941"/>
            <a:gd name="connsiteY8" fmla="*/ 959643 h 1743075"/>
            <a:gd name="connsiteX9" fmla="*/ 4088730 w 4095941"/>
            <a:gd name="connsiteY9" fmla="*/ 1743075 h 1743075"/>
            <a:gd name="connsiteX10" fmla="*/ 1683573 w 4095941"/>
            <a:gd name="connsiteY10" fmla="*/ 1364456 h 1743075"/>
            <a:gd name="connsiteX11" fmla="*/ 1559623 w 4095941"/>
            <a:gd name="connsiteY11" fmla="*/ 1333500 h 1743075"/>
            <a:gd name="connsiteX12" fmla="*/ 1518781 w 4095941"/>
            <a:gd name="connsiteY12" fmla="*/ 1352549 h 1743075"/>
            <a:gd name="connsiteX13" fmla="*/ 1374010 w 4095941"/>
            <a:gd name="connsiteY13" fmla="*/ 1283494 h 1743075"/>
            <a:gd name="connsiteX14" fmla="*/ 1200254 w 4095941"/>
            <a:gd name="connsiteY14" fmla="*/ 1235869 h 1743075"/>
            <a:gd name="connsiteX15" fmla="*/ 1036437 w 4095941"/>
            <a:gd name="connsiteY15" fmla="*/ 1197770 h 1743075"/>
            <a:gd name="connsiteX16" fmla="*/ 955799 w 4095941"/>
            <a:gd name="connsiteY16" fmla="*/ 1207294 h 1743075"/>
            <a:gd name="connsiteX17" fmla="*/ 850230 w 4095941"/>
            <a:gd name="connsiteY17" fmla="*/ 1188244 h 1743075"/>
            <a:gd name="connsiteX18" fmla="*/ 694909 w 4095941"/>
            <a:gd name="connsiteY18" fmla="*/ 1126331 h 1743075"/>
            <a:gd name="connsiteX19" fmla="*/ 528761 w 4095941"/>
            <a:gd name="connsiteY19" fmla="*/ 1031081 h 1743075"/>
            <a:gd name="connsiteX20" fmla="*/ 333374 w 4095941"/>
            <a:gd name="connsiteY20" fmla="*/ 1028700 h 1743075"/>
            <a:gd name="connsiteX21" fmla="*/ 173135 w 4095941"/>
            <a:gd name="connsiteY21" fmla="*/ 1083470 h 1743075"/>
            <a:gd name="connsiteX22" fmla="*/ 0 w 4095941"/>
            <a:gd name="connsiteY22" fmla="*/ 1059656 h 1743075"/>
            <a:gd name="connsiteX23" fmla="*/ 17699 w 4095941"/>
            <a:gd name="connsiteY23" fmla="*/ 19049 h 1743075"/>
            <a:gd name="connsiteX0" fmla="*/ 17699 w 4095941"/>
            <a:gd name="connsiteY0" fmla="*/ 19049 h 1745456"/>
            <a:gd name="connsiteX1" fmla="*/ 3686766 w 4095941"/>
            <a:gd name="connsiteY1" fmla="*/ 0 h 1745456"/>
            <a:gd name="connsiteX2" fmla="*/ 2676726 w 4095941"/>
            <a:gd name="connsiteY2" fmla="*/ 683419 h 1745456"/>
            <a:gd name="connsiteX3" fmla="*/ 1805150 w 4095941"/>
            <a:gd name="connsiteY3" fmla="*/ 545305 h 1745456"/>
            <a:gd name="connsiteX4" fmla="*/ 1719338 w 4095941"/>
            <a:gd name="connsiteY4" fmla="*/ 511968 h 1745456"/>
            <a:gd name="connsiteX5" fmla="*/ 1705348 w 4095941"/>
            <a:gd name="connsiteY5" fmla="*/ 571500 h 1745456"/>
            <a:gd name="connsiteX6" fmla="*/ 1849933 w 4095941"/>
            <a:gd name="connsiteY6" fmla="*/ 602458 h 1745456"/>
            <a:gd name="connsiteX7" fmla="*/ 2044413 w 4095941"/>
            <a:gd name="connsiteY7" fmla="*/ 626270 h 1745456"/>
            <a:gd name="connsiteX8" fmla="*/ 4095941 w 4095941"/>
            <a:gd name="connsiteY8" fmla="*/ 959643 h 1745456"/>
            <a:gd name="connsiteX9" fmla="*/ 4005720 w 4095941"/>
            <a:gd name="connsiteY9" fmla="*/ 1745456 h 1745456"/>
            <a:gd name="connsiteX10" fmla="*/ 1683573 w 4095941"/>
            <a:gd name="connsiteY10" fmla="*/ 1364456 h 1745456"/>
            <a:gd name="connsiteX11" fmla="*/ 1559623 w 4095941"/>
            <a:gd name="connsiteY11" fmla="*/ 1333500 h 1745456"/>
            <a:gd name="connsiteX12" fmla="*/ 1518781 w 4095941"/>
            <a:gd name="connsiteY12" fmla="*/ 1352549 h 1745456"/>
            <a:gd name="connsiteX13" fmla="*/ 1374010 w 4095941"/>
            <a:gd name="connsiteY13" fmla="*/ 1283494 h 1745456"/>
            <a:gd name="connsiteX14" fmla="*/ 1200254 w 4095941"/>
            <a:gd name="connsiteY14" fmla="*/ 1235869 h 1745456"/>
            <a:gd name="connsiteX15" fmla="*/ 1036437 w 4095941"/>
            <a:gd name="connsiteY15" fmla="*/ 1197770 h 1745456"/>
            <a:gd name="connsiteX16" fmla="*/ 955799 w 4095941"/>
            <a:gd name="connsiteY16" fmla="*/ 1207294 h 1745456"/>
            <a:gd name="connsiteX17" fmla="*/ 850230 w 4095941"/>
            <a:gd name="connsiteY17" fmla="*/ 1188244 h 1745456"/>
            <a:gd name="connsiteX18" fmla="*/ 694909 w 4095941"/>
            <a:gd name="connsiteY18" fmla="*/ 1126331 h 1745456"/>
            <a:gd name="connsiteX19" fmla="*/ 528761 w 4095941"/>
            <a:gd name="connsiteY19" fmla="*/ 1031081 h 1745456"/>
            <a:gd name="connsiteX20" fmla="*/ 333374 w 4095941"/>
            <a:gd name="connsiteY20" fmla="*/ 1028700 h 1745456"/>
            <a:gd name="connsiteX21" fmla="*/ 173135 w 4095941"/>
            <a:gd name="connsiteY21" fmla="*/ 1083470 h 1745456"/>
            <a:gd name="connsiteX22" fmla="*/ 0 w 4095941"/>
            <a:gd name="connsiteY22" fmla="*/ 1059656 h 1745456"/>
            <a:gd name="connsiteX23" fmla="*/ 17699 w 4095941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76726 w 4008124"/>
            <a:gd name="connsiteY2" fmla="*/ 683419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49933 w 4008124"/>
            <a:gd name="connsiteY6" fmla="*/ 602458 h 1745456"/>
            <a:gd name="connsiteX7" fmla="*/ 2044413 w 4008124"/>
            <a:gd name="connsiteY7" fmla="*/ 626270 h 1745456"/>
            <a:gd name="connsiteX8" fmla="*/ 4005816 w 4008124"/>
            <a:gd name="connsiteY8" fmla="*/ 945356 h 1745456"/>
            <a:gd name="connsiteX9" fmla="*/ 4005720 w 4008124"/>
            <a:gd name="connsiteY9" fmla="*/ 1745456 h 1745456"/>
            <a:gd name="connsiteX10" fmla="*/ 1683573 w 4008124"/>
            <a:gd name="connsiteY10" fmla="*/ 1364456 h 1745456"/>
            <a:gd name="connsiteX11" fmla="*/ 1559623 w 4008124"/>
            <a:gd name="connsiteY11" fmla="*/ 1333500 h 1745456"/>
            <a:gd name="connsiteX12" fmla="*/ 1518781 w 4008124"/>
            <a:gd name="connsiteY12" fmla="*/ 1352549 h 1745456"/>
            <a:gd name="connsiteX13" fmla="*/ 1374010 w 4008124"/>
            <a:gd name="connsiteY13" fmla="*/ 1283494 h 1745456"/>
            <a:gd name="connsiteX14" fmla="*/ 1200254 w 4008124"/>
            <a:gd name="connsiteY14" fmla="*/ 1235869 h 1745456"/>
            <a:gd name="connsiteX15" fmla="*/ 1036437 w 4008124"/>
            <a:gd name="connsiteY15" fmla="*/ 1197770 h 1745456"/>
            <a:gd name="connsiteX16" fmla="*/ 955799 w 4008124"/>
            <a:gd name="connsiteY16" fmla="*/ 1207294 h 1745456"/>
            <a:gd name="connsiteX17" fmla="*/ 850230 w 4008124"/>
            <a:gd name="connsiteY17" fmla="*/ 1188244 h 1745456"/>
            <a:gd name="connsiteX18" fmla="*/ 694909 w 4008124"/>
            <a:gd name="connsiteY18" fmla="*/ 1126331 h 1745456"/>
            <a:gd name="connsiteX19" fmla="*/ 528761 w 4008124"/>
            <a:gd name="connsiteY19" fmla="*/ 1031081 h 1745456"/>
            <a:gd name="connsiteX20" fmla="*/ 333374 w 4008124"/>
            <a:gd name="connsiteY20" fmla="*/ 1028700 h 1745456"/>
            <a:gd name="connsiteX21" fmla="*/ 173135 w 4008124"/>
            <a:gd name="connsiteY21" fmla="*/ 1083470 h 1745456"/>
            <a:gd name="connsiteX22" fmla="*/ 0 w 4008124"/>
            <a:gd name="connsiteY22" fmla="*/ 1059656 h 1745456"/>
            <a:gd name="connsiteX23" fmla="*/ 17699 w 4008124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45894 w 4008124"/>
            <a:gd name="connsiteY2" fmla="*/ 671513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49933 w 4008124"/>
            <a:gd name="connsiteY6" fmla="*/ 602458 h 1745456"/>
            <a:gd name="connsiteX7" fmla="*/ 2044413 w 4008124"/>
            <a:gd name="connsiteY7" fmla="*/ 626270 h 1745456"/>
            <a:gd name="connsiteX8" fmla="*/ 4005816 w 4008124"/>
            <a:gd name="connsiteY8" fmla="*/ 945356 h 1745456"/>
            <a:gd name="connsiteX9" fmla="*/ 4005720 w 4008124"/>
            <a:gd name="connsiteY9" fmla="*/ 1745456 h 1745456"/>
            <a:gd name="connsiteX10" fmla="*/ 1683573 w 4008124"/>
            <a:gd name="connsiteY10" fmla="*/ 1364456 h 1745456"/>
            <a:gd name="connsiteX11" fmla="*/ 1559623 w 4008124"/>
            <a:gd name="connsiteY11" fmla="*/ 1333500 h 1745456"/>
            <a:gd name="connsiteX12" fmla="*/ 1518781 w 4008124"/>
            <a:gd name="connsiteY12" fmla="*/ 1352549 h 1745456"/>
            <a:gd name="connsiteX13" fmla="*/ 1374010 w 4008124"/>
            <a:gd name="connsiteY13" fmla="*/ 1283494 h 1745456"/>
            <a:gd name="connsiteX14" fmla="*/ 1200254 w 4008124"/>
            <a:gd name="connsiteY14" fmla="*/ 1235869 h 1745456"/>
            <a:gd name="connsiteX15" fmla="*/ 1036437 w 4008124"/>
            <a:gd name="connsiteY15" fmla="*/ 1197770 h 1745456"/>
            <a:gd name="connsiteX16" fmla="*/ 955799 w 4008124"/>
            <a:gd name="connsiteY16" fmla="*/ 1207294 h 1745456"/>
            <a:gd name="connsiteX17" fmla="*/ 850230 w 4008124"/>
            <a:gd name="connsiteY17" fmla="*/ 1188244 h 1745456"/>
            <a:gd name="connsiteX18" fmla="*/ 694909 w 4008124"/>
            <a:gd name="connsiteY18" fmla="*/ 1126331 h 1745456"/>
            <a:gd name="connsiteX19" fmla="*/ 528761 w 4008124"/>
            <a:gd name="connsiteY19" fmla="*/ 1031081 h 1745456"/>
            <a:gd name="connsiteX20" fmla="*/ 333374 w 4008124"/>
            <a:gd name="connsiteY20" fmla="*/ 1028700 h 1745456"/>
            <a:gd name="connsiteX21" fmla="*/ 173135 w 4008124"/>
            <a:gd name="connsiteY21" fmla="*/ 1083470 h 1745456"/>
            <a:gd name="connsiteX22" fmla="*/ 0 w 4008124"/>
            <a:gd name="connsiteY22" fmla="*/ 1059656 h 1745456"/>
            <a:gd name="connsiteX23" fmla="*/ 17699 w 4008124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49933 w 4008124"/>
            <a:gd name="connsiteY6" fmla="*/ 602458 h 1745456"/>
            <a:gd name="connsiteX7" fmla="*/ 2044413 w 4008124"/>
            <a:gd name="connsiteY7" fmla="*/ 626270 h 1745456"/>
            <a:gd name="connsiteX8" fmla="*/ 4005816 w 4008124"/>
            <a:gd name="connsiteY8" fmla="*/ 945356 h 1745456"/>
            <a:gd name="connsiteX9" fmla="*/ 4005720 w 4008124"/>
            <a:gd name="connsiteY9" fmla="*/ 1745456 h 1745456"/>
            <a:gd name="connsiteX10" fmla="*/ 1683573 w 4008124"/>
            <a:gd name="connsiteY10" fmla="*/ 1364456 h 1745456"/>
            <a:gd name="connsiteX11" fmla="*/ 1559623 w 4008124"/>
            <a:gd name="connsiteY11" fmla="*/ 1333500 h 1745456"/>
            <a:gd name="connsiteX12" fmla="*/ 1518781 w 4008124"/>
            <a:gd name="connsiteY12" fmla="*/ 1352549 h 1745456"/>
            <a:gd name="connsiteX13" fmla="*/ 1374010 w 4008124"/>
            <a:gd name="connsiteY13" fmla="*/ 1283494 h 1745456"/>
            <a:gd name="connsiteX14" fmla="*/ 1200254 w 4008124"/>
            <a:gd name="connsiteY14" fmla="*/ 1235869 h 1745456"/>
            <a:gd name="connsiteX15" fmla="*/ 1036437 w 4008124"/>
            <a:gd name="connsiteY15" fmla="*/ 1197770 h 1745456"/>
            <a:gd name="connsiteX16" fmla="*/ 955799 w 4008124"/>
            <a:gd name="connsiteY16" fmla="*/ 1207294 h 1745456"/>
            <a:gd name="connsiteX17" fmla="*/ 850230 w 4008124"/>
            <a:gd name="connsiteY17" fmla="*/ 1188244 h 1745456"/>
            <a:gd name="connsiteX18" fmla="*/ 694909 w 4008124"/>
            <a:gd name="connsiteY18" fmla="*/ 1126331 h 1745456"/>
            <a:gd name="connsiteX19" fmla="*/ 528761 w 4008124"/>
            <a:gd name="connsiteY19" fmla="*/ 1031081 h 1745456"/>
            <a:gd name="connsiteX20" fmla="*/ 333374 w 4008124"/>
            <a:gd name="connsiteY20" fmla="*/ 1028700 h 1745456"/>
            <a:gd name="connsiteX21" fmla="*/ 173135 w 4008124"/>
            <a:gd name="connsiteY21" fmla="*/ 1083470 h 1745456"/>
            <a:gd name="connsiteX22" fmla="*/ 0 w 4008124"/>
            <a:gd name="connsiteY22" fmla="*/ 1059656 h 1745456"/>
            <a:gd name="connsiteX23" fmla="*/ 17699 w 4008124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2044413 w 4008124"/>
            <a:gd name="connsiteY7" fmla="*/ 626270 h 1745456"/>
            <a:gd name="connsiteX8" fmla="*/ 4005816 w 4008124"/>
            <a:gd name="connsiteY8" fmla="*/ 945356 h 1745456"/>
            <a:gd name="connsiteX9" fmla="*/ 4005720 w 4008124"/>
            <a:gd name="connsiteY9" fmla="*/ 1745456 h 1745456"/>
            <a:gd name="connsiteX10" fmla="*/ 1683573 w 4008124"/>
            <a:gd name="connsiteY10" fmla="*/ 1364456 h 1745456"/>
            <a:gd name="connsiteX11" fmla="*/ 1559623 w 4008124"/>
            <a:gd name="connsiteY11" fmla="*/ 1333500 h 1745456"/>
            <a:gd name="connsiteX12" fmla="*/ 1518781 w 4008124"/>
            <a:gd name="connsiteY12" fmla="*/ 1352549 h 1745456"/>
            <a:gd name="connsiteX13" fmla="*/ 1374010 w 4008124"/>
            <a:gd name="connsiteY13" fmla="*/ 1283494 h 1745456"/>
            <a:gd name="connsiteX14" fmla="*/ 1200254 w 4008124"/>
            <a:gd name="connsiteY14" fmla="*/ 1235869 h 1745456"/>
            <a:gd name="connsiteX15" fmla="*/ 1036437 w 4008124"/>
            <a:gd name="connsiteY15" fmla="*/ 1197770 h 1745456"/>
            <a:gd name="connsiteX16" fmla="*/ 955799 w 4008124"/>
            <a:gd name="connsiteY16" fmla="*/ 1207294 h 1745456"/>
            <a:gd name="connsiteX17" fmla="*/ 850230 w 4008124"/>
            <a:gd name="connsiteY17" fmla="*/ 1188244 h 1745456"/>
            <a:gd name="connsiteX18" fmla="*/ 694909 w 4008124"/>
            <a:gd name="connsiteY18" fmla="*/ 1126331 h 1745456"/>
            <a:gd name="connsiteX19" fmla="*/ 528761 w 4008124"/>
            <a:gd name="connsiteY19" fmla="*/ 1031081 h 1745456"/>
            <a:gd name="connsiteX20" fmla="*/ 333374 w 4008124"/>
            <a:gd name="connsiteY20" fmla="*/ 1028700 h 1745456"/>
            <a:gd name="connsiteX21" fmla="*/ 173135 w 4008124"/>
            <a:gd name="connsiteY21" fmla="*/ 1083470 h 1745456"/>
            <a:gd name="connsiteX22" fmla="*/ 0 w 4008124"/>
            <a:gd name="connsiteY22" fmla="*/ 1059656 h 1745456"/>
            <a:gd name="connsiteX23" fmla="*/ 17699 w 4008124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2061015 w 4008124"/>
            <a:gd name="connsiteY7" fmla="*/ 821533 h 1745456"/>
            <a:gd name="connsiteX8" fmla="*/ 4005816 w 4008124"/>
            <a:gd name="connsiteY8" fmla="*/ 945356 h 1745456"/>
            <a:gd name="connsiteX9" fmla="*/ 4005720 w 4008124"/>
            <a:gd name="connsiteY9" fmla="*/ 1745456 h 1745456"/>
            <a:gd name="connsiteX10" fmla="*/ 1683573 w 4008124"/>
            <a:gd name="connsiteY10" fmla="*/ 1364456 h 1745456"/>
            <a:gd name="connsiteX11" fmla="*/ 1559623 w 4008124"/>
            <a:gd name="connsiteY11" fmla="*/ 1333500 h 1745456"/>
            <a:gd name="connsiteX12" fmla="*/ 1518781 w 4008124"/>
            <a:gd name="connsiteY12" fmla="*/ 1352549 h 1745456"/>
            <a:gd name="connsiteX13" fmla="*/ 1374010 w 4008124"/>
            <a:gd name="connsiteY13" fmla="*/ 1283494 h 1745456"/>
            <a:gd name="connsiteX14" fmla="*/ 1200254 w 4008124"/>
            <a:gd name="connsiteY14" fmla="*/ 1235869 h 1745456"/>
            <a:gd name="connsiteX15" fmla="*/ 1036437 w 4008124"/>
            <a:gd name="connsiteY15" fmla="*/ 1197770 h 1745456"/>
            <a:gd name="connsiteX16" fmla="*/ 955799 w 4008124"/>
            <a:gd name="connsiteY16" fmla="*/ 1207294 h 1745456"/>
            <a:gd name="connsiteX17" fmla="*/ 850230 w 4008124"/>
            <a:gd name="connsiteY17" fmla="*/ 1188244 h 1745456"/>
            <a:gd name="connsiteX18" fmla="*/ 694909 w 4008124"/>
            <a:gd name="connsiteY18" fmla="*/ 1126331 h 1745456"/>
            <a:gd name="connsiteX19" fmla="*/ 528761 w 4008124"/>
            <a:gd name="connsiteY19" fmla="*/ 1031081 h 1745456"/>
            <a:gd name="connsiteX20" fmla="*/ 333374 w 4008124"/>
            <a:gd name="connsiteY20" fmla="*/ 1028700 h 1745456"/>
            <a:gd name="connsiteX21" fmla="*/ 173135 w 4008124"/>
            <a:gd name="connsiteY21" fmla="*/ 1083470 h 1745456"/>
            <a:gd name="connsiteX22" fmla="*/ 0 w 4008124"/>
            <a:gd name="connsiteY22" fmla="*/ 1059656 h 1745456"/>
            <a:gd name="connsiteX23" fmla="*/ 17699 w 4008124"/>
            <a:gd name="connsiteY2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918711 w 4008124"/>
            <a:gd name="connsiteY7" fmla="*/ 731043 h 1745456"/>
            <a:gd name="connsiteX8" fmla="*/ 2061015 w 4008124"/>
            <a:gd name="connsiteY8" fmla="*/ 821533 h 1745456"/>
            <a:gd name="connsiteX9" fmla="*/ 4005816 w 4008124"/>
            <a:gd name="connsiteY9" fmla="*/ 945356 h 1745456"/>
            <a:gd name="connsiteX10" fmla="*/ 4005720 w 4008124"/>
            <a:gd name="connsiteY10" fmla="*/ 1745456 h 1745456"/>
            <a:gd name="connsiteX11" fmla="*/ 1683573 w 4008124"/>
            <a:gd name="connsiteY11" fmla="*/ 1364456 h 1745456"/>
            <a:gd name="connsiteX12" fmla="*/ 1559623 w 4008124"/>
            <a:gd name="connsiteY12" fmla="*/ 1333500 h 1745456"/>
            <a:gd name="connsiteX13" fmla="*/ 1518781 w 4008124"/>
            <a:gd name="connsiteY13" fmla="*/ 1352549 h 1745456"/>
            <a:gd name="connsiteX14" fmla="*/ 1374010 w 4008124"/>
            <a:gd name="connsiteY14" fmla="*/ 1283494 h 1745456"/>
            <a:gd name="connsiteX15" fmla="*/ 1200254 w 4008124"/>
            <a:gd name="connsiteY15" fmla="*/ 1235869 h 1745456"/>
            <a:gd name="connsiteX16" fmla="*/ 1036437 w 4008124"/>
            <a:gd name="connsiteY16" fmla="*/ 1197770 h 1745456"/>
            <a:gd name="connsiteX17" fmla="*/ 955799 w 4008124"/>
            <a:gd name="connsiteY17" fmla="*/ 1207294 h 1745456"/>
            <a:gd name="connsiteX18" fmla="*/ 850230 w 4008124"/>
            <a:gd name="connsiteY18" fmla="*/ 1188244 h 1745456"/>
            <a:gd name="connsiteX19" fmla="*/ 694909 w 4008124"/>
            <a:gd name="connsiteY19" fmla="*/ 1126331 h 1745456"/>
            <a:gd name="connsiteX20" fmla="*/ 528761 w 4008124"/>
            <a:gd name="connsiteY20" fmla="*/ 1031081 h 1745456"/>
            <a:gd name="connsiteX21" fmla="*/ 333374 w 4008124"/>
            <a:gd name="connsiteY21" fmla="*/ 1028700 h 1745456"/>
            <a:gd name="connsiteX22" fmla="*/ 173135 w 4008124"/>
            <a:gd name="connsiteY22" fmla="*/ 1083470 h 1745456"/>
            <a:gd name="connsiteX23" fmla="*/ 0 w 4008124"/>
            <a:gd name="connsiteY23" fmla="*/ 1059656 h 1745456"/>
            <a:gd name="connsiteX24" fmla="*/ 17699 w 4008124"/>
            <a:gd name="connsiteY24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4005816 w 4008124"/>
            <a:gd name="connsiteY9" fmla="*/ 945356 h 1745456"/>
            <a:gd name="connsiteX10" fmla="*/ 4005720 w 4008124"/>
            <a:gd name="connsiteY10" fmla="*/ 1745456 h 1745456"/>
            <a:gd name="connsiteX11" fmla="*/ 1683573 w 4008124"/>
            <a:gd name="connsiteY11" fmla="*/ 1364456 h 1745456"/>
            <a:gd name="connsiteX12" fmla="*/ 1559623 w 4008124"/>
            <a:gd name="connsiteY12" fmla="*/ 1333500 h 1745456"/>
            <a:gd name="connsiteX13" fmla="*/ 1518781 w 4008124"/>
            <a:gd name="connsiteY13" fmla="*/ 1352549 h 1745456"/>
            <a:gd name="connsiteX14" fmla="*/ 1374010 w 4008124"/>
            <a:gd name="connsiteY14" fmla="*/ 1283494 h 1745456"/>
            <a:gd name="connsiteX15" fmla="*/ 1200254 w 4008124"/>
            <a:gd name="connsiteY15" fmla="*/ 1235869 h 1745456"/>
            <a:gd name="connsiteX16" fmla="*/ 1036437 w 4008124"/>
            <a:gd name="connsiteY16" fmla="*/ 1197770 h 1745456"/>
            <a:gd name="connsiteX17" fmla="*/ 955799 w 4008124"/>
            <a:gd name="connsiteY17" fmla="*/ 1207294 h 1745456"/>
            <a:gd name="connsiteX18" fmla="*/ 850230 w 4008124"/>
            <a:gd name="connsiteY18" fmla="*/ 1188244 h 1745456"/>
            <a:gd name="connsiteX19" fmla="*/ 694909 w 4008124"/>
            <a:gd name="connsiteY19" fmla="*/ 1126331 h 1745456"/>
            <a:gd name="connsiteX20" fmla="*/ 528761 w 4008124"/>
            <a:gd name="connsiteY20" fmla="*/ 1031081 h 1745456"/>
            <a:gd name="connsiteX21" fmla="*/ 333374 w 4008124"/>
            <a:gd name="connsiteY21" fmla="*/ 1028700 h 1745456"/>
            <a:gd name="connsiteX22" fmla="*/ 173135 w 4008124"/>
            <a:gd name="connsiteY22" fmla="*/ 1083470 h 1745456"/>
            <a:gd name="connsiteX23" fmla="*/ 0 w 4008124"/>
            <a:gd name="connsiteY23" fmla="*/ 1059656 h 1745456"/>
            <a:gd name="connsiteX24" fmla="*/ 17699 w 4008124"/>
            <a:gd name="connsiteY24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746437 w 4008124"/>
            <a:gd name="connsiteY9" fmla="*/ 864393 h 1745456"/>
            <a:gd name="connsiteX10" fmla="*/ 4005816 w 4008124"/>
            <a:gd name="connsiteY10" fmla="*/ 945356 h 1745456"/>
            <a:gd name="connsiteX11" fmla="*/ 4005720 w 4008124"/>
            <a:gd name="connsiteY11" fmla="*/ 1745456 h 1745456"/>
            <a:gd name="connsiteX12" fmla="*/ 1683573 w 4008124"/>
            <a:gd name="connsiteY12" fmla="*/ 1364456 h 1745456"/>
            <a:gd name="connsiteX13" fmla="*/ 1559623 w 4008124"/>
            <a:gd name="connsiteY13" fmla="*/ 1333500 h 1745456"/>
            <a:gd name="connsiteX14" fmla="*/ 1518781 w 4008124"/>
            <a:gd name="connsiteY14" fmla="*/ 1352549 h 1745456"/>
            <a:gd name="connsiteX15" fmla="*/ 1374010 w 4008124"/>
            <a:gd name="connsiteY15" fmla="*/ 1283494 h 1745456"/>
            <a:gd name="connsiteX16" fmla="*/ 1200254 w 4008124"/>
            <a:gd name="connsiteY16" fmla="*/ 1235869 h 1745456"/>
            <a:gd name="connsiteX17" fmla="*/ 1036437 w 4008124"/>
            <a:gd name="connsiteY17" fmla="*/ 1197770 h 1745456"/>
            <a:gd name="connsiteX18" fmla="*/ 955799 w 4008124"/>
            <a:gd name="connsiteY18" fmla="*/ 1207294 h 1745456"/>
            <a:gd name="connsiteX19" fmla="*/ 850230 w 4008124"/>
            <a:gd name="connsiteY19" fmla="*/ 1188244 h 1745456"/>
            <a:gd name="connsiteX20" fmla="*/ 694909 w 4008124"/>
            <a:gd name="connsiteY20" fmla="*/ 1126331 h 1745456"/>
            <a:gd name="connsiteX21" fmla="*/ 528761 w 4008124"/>
            <a:gd name="connsiteY21" fmla="*/ 1031081 h 1745456"/>
            <a:gd name="connsiteX22" fmla="*/ 333374 w 4008124"/>
            <a:gd name="connsiteY22" fmla="*/ 1028700 h 1745456"/>
            <a:gd name="connsiteX23" fmla="*/ 173135 w 4008124"/>
            <a:gd name="connsiteY23" fmla="*/ 1083470 h 1745456"/>
            <a:gd name="connsiteX24" fmla="*/ 0 w 4008124"/>
            <a:gd name="connsiteY24" fmla="*/ 1059656 h 1745456"/>
            <a:gd name="connsiteX25" fmla="*/ 17699 w 4008124"/>
            <a:gd name="connsiteY25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4005816 w 4008124"/>
            <a:gd name="connsiteY10" fmla="*/ 945356 h 1745456"/>
            <a:gd name="connsiteX11" fmla="*/ 4005720 w 4008124"/>
            <a:gd name="connsiteY11" fmla="*/ 1745456 h 1745456"/>
            <a:gd name="connsiteX12" fmla="*/ 1683573 w 4008124"/>
            <a:gd name="connsiteY12" fmla="*/ 1364456 h 1745456"/>
            <a:gd name="connsiteX13" fmla="*/ 1559623 w 4008124"/>
            <a:gd name="connsiteY13" fmla="*/ 1333500 h 1745456"/>
            <a:gd name="connsiteX14" fmla="*/ 1518781 w 4008124"/>
            <a:gd name="connsiteY14" fmla="*/ 1352549 h 1745456"/>
            <a:gd name="connsiteX15" fmla="*/ 1374010 w 4008124"/>
            <a:gd name="connsiteY15" fmla="*/ 1283494 h 1745456"/>
            <a:gd name="connsiteX16" fmla="*/ 1200254 w 4008124"/>
            <a:gd name="connsiteY16" fmla="*/ 1235869 h 1745456"/>
            <a:gd name="connsiteX17" fmla="*/ 1036437 w 4008124"/>
            <a:gd name="connsiteY17" fmla="*/ 1197770 h 1745456"/>
            <a:gd name="connsiteX18" fmla="*/ 955799 w 4008124"/>
            <a:gd name="connsiteY18" fmla="*/ 1207294 h 1745456"/>
            <a:gd name="connsiteX19" fmla="*/ 850230 w 4008124"/>
            <a:gd name="connsiteY19" fmla="*/ 1188244 h 1745456"/>
            <a:gd name="connsiteX20" fmla="*/ 694909 w 4008124"/>
            <a:gd name="connsiteY20" fmla="*/ 1126331 h 1745456"/>
            <a:gd name="connsiteX21" fmla="*/ 528761 w 4008124"/>
            <a:gd name="connsiteY21" fmla="*/ 1031081 h 1745456"/>
            <a:gd name="connsiteX22" fmla="*/ 333374 w 4008124"/>
            <a:gd name="connsiteY22" fmla="*/ 1028700 h 1745456"/>
            <a:gd name="connsiteX23" fmla="*/ 173135 w 4008124"/>
            <a:gd name="connsiteY23" fmla="*/ 1083470 h 1745456"/>
            <a:gd name="connsiteX24" fmla="*/ 0 w 4008124"/>
            <a:gd name="connsiteY24" fmla="*/ 1059656 h 1745456"/>
            <a:gd name="connsiteX25" fmla="*/ 17699 w 4008124"/>
            <a:gd name="connsiteY25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4003445 w 4008124"/>
            <a:gd name="connsiteY10" fmla="*/ 1321594 h 1745456"/>
            <a:gd name="connsiteX11" fmla="*/ 4005720 w 4008124"/>
            <a:gd name="connsiteY11" fmla="*/ 1745456 h 1745456"/>
            <a:gd name="connsiteX12" fmla="*/ 1683573 w 4008124"/>
            <a:gd name="connsiteY12" fmla="*/ 1364456 h 1745456"/>
            <a:gd name="connsiteX13" fmla="*/ 1559623 w 4008124"/>
            <a:gd name="connsiteY13" fmla="*/ 1333500 h 1745456"/>
            <a:gd name="connsiteX14" fmla="*/ 1518781 w 4008124"/>
            <a:gd name="connsiteY14" fmla="*/ 1352549 h 1745456"/>
            <a:gd name="connsiteX15" fmla="*/ 1374010 w 4008124"/>
            <a:gd name="connsiteY15" fmla="*/ 1283494 h 1745456"/>
            <a:gd name="connsiteX16" fmla="*/ 1200254 w 4008124"/>
            <a:gd name="connsiteY16" fmla="*/ 1235869 h 1745456"/>
            <a:gd name="connsiteX17" fmla="*/ 1036437 w 4008124"/>
            <a:gd name="connsiteY17" fmla="*/ 1197770 h 1745456"/>
            <a:gd name="connsiteX18" fmla="*/ 955799 w 4008124"/>
            <a:gd name="connsiteY18" fmla="*/ 1207294 h 1745456"/>
            <a:gd name="connsiteX19" fmla="*/ 850230 w 4008124"/>
            <a:gd name="connsiteY19" fmla="*/ 1188244 h 1745456"/>
            <a:gd name="connsiteX20" fmla="*/ 694909 w 4008124"/>
            <a:gd name="connsiteY20" fmla="*/ 1126331 h 1745456"/>
            <a:gd name="connsiteX21" fmla="*/ 528761 w 4008124"/>
            <a:gd name="connsiteY21" fmla="*/ 1031081 h 1745456"/>
            <a:gd name="connsiteX22" fmla="*/ 333374 w 4008124"/>
            <a:gd name="connsiteY22" fmla="*/ 1028700 h 1745456"/>
            <a:gd name="connsiteX23" fmla="*/ 173135 w 4008124"/>
            <a:gd name="connsiteY23" fmla="*/ 1083470 h 1745456"/>
            <a:gd name="connsiteX24" fmla="*/ 0 w 4008124"/>
            <a:gd name="connsiteY24" fmla="*/ 1059656 h 1745456"/>
            <a:gd name="connsiteX25" fmla="*/ 17699 w 4008124"/>
            <a:gd name="connsiteY25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780502 w 4008124"/>
            <a:gd name="connsiteY10" fmla="*/ 1271586 h 1745456"/>
            <a:gd name="connsiteX11" fmla="*/ 4003445 w 4008124"/>
            <a:gd name="connsiteY11" fmla="*/ 1321594 h 1745456"/>
            <a:gd name="connsiteX12" fmla="*/ 4005720 w 4008124"/>
            <a:gd name="connsiteY12" fmla="*/ 1745456 h 1745456"/>
            <a:gd name="connsiteX13" fmla="*/ 1683573 w 4008124"/>
            <a:gd name="connsiteY13" fmla="*/ 1364456 h 1745456"/>
            <a:gd name="connsiteX14" fmla="*/ 1559623 w 4008124"/>
            <a:gd name="connsiteY14" fmla="*/ 1333500 h 1745456"/>
            <a:gd name="connsiteX15" fmla="*/ 1518781 w 4008124"/>
            <a:gd name="connsiteY15" fmla="*/ 1352549 h 1745456"/>
            <a:gd name="connsiteX16" fmla="*/ 1374010 w 4008124"/>
            <a:gd name="connsiteY16" fmla="*/ 1283494 h 1745456"/>
            <a:gd name="connsiteX17" fmla="*/ 1200254 w 4008124"/>
            <a:gd name="connsiteY17" fmla="*/ 1235869 h 1745456"/>
            <a:gd name="connsiteX18" fmla="*/ 1036437 w 4008124"/>
            <a:gd name="connsiteY18" fmla="*/ 1197770 h 1745456"/>
            <a:gd name="connsiteX19" fmla="*/ 955799 w 4008124"/>
            <a:gd name="connsiteY19" fmla="*/ 1207294 h 1745456"/>
            <a:gd name="connsiteX20" fmla="*/ 850230 w 4008124"/>
            <a:gd name="connsiteY20" fmla="*/ 1188244 h 1745456"/>
            <a:gd name="connsiteX21" fmla="*/ 694909 w 4008124"/>
            <a:gd name="connsiteY21" fmla="*/ 1126331 h 1745456"/>
            <a:gd name="connsiteX22" fmla="*/ 528761 w 4008124"/>
            <a:gd name="connsiteY22" fmla="*/ 1031081 h 1745456"/>
            <a:gd name="connsiteX23" fmla="*/ 333374 w 4008124"/>
            <a:gd name="connsiteY23" fmla="*/ 1028700 h 1745456"/>
            <a:gd name="connsiteX24" fmla="*/ 173135 w 4008124"/>
            <a:gd name="connsiteY24" fmla="*/ 1083470 h 1745456"/>
            <a:gd name="connsiteX25" fmla="*/ 0 w 4008124"/>
            <a:gd name="connsiteY25" fmla="*/ 1059656 h 1745456"/>
            <a:gd name="connsiteX26" fmla="*/ 17699 w 4008124"/>
            <a:gd name="connsiteY26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782873 w 4008124"/>
            <a:gd name="connsiteY10" fmla="*/ 1264442 h 1745456"/>
            <a:gd name="connsiteX11" fmla="*/ 4003445 w 4008124"/>
            <a:gd name="connsiteY11" fmla="*/ 1321594 h 1745456"/>
            <a:gd name="connsiteX12" fmla="*/ 4005720 w 4008124"/>
            <a:gd name="connsiteY12" fmla="*/ 1745456 h 1745456"/>
            <a:gd name="connsiteX13" fmla="*/ 1683573 w 4008124"/>
            <a:gd name="connsiteY13" fmla="*/ 1364456 h 1745456"/>
            <a:gd name="connsiteX14" fmla="*/ 1559623 w 4008124"/>
            <a:gd name="connsiteY14" fmla="*/ 1333500 h 1745456"/>
            <a:gd name="connsiteX15" fmla="*/ 1518781 w 4008124"/>
            <a:gd name="connsiteY15" fmla="*/ 1352549 h 1745456"/>
            <a:gd name="connsiteX16" fmla="*/ 1374010 w 4008124"/>
            <a:gd name="connsiteY16" fmla="*/ 1283494 h 1745456"/>
            <a:gd name="connsiteX17" fmla="*/ 1200254 w 4008124"/>
            <a:gd name="connsiteY17" fmla="*/ 1235869 h 1745456"/>
            <a:gd name="connsiteX18" fmla="*/ 1036437 w 4008124"/>
            <a:gd name="connsiteY18" fmla="*/ 1197770 h 1745456"/>
            <a:gd name="connsiteX19" fmla="*/ 955799 w 4008124"/>
            <a:gd name="connsiteY19" fmla="*/ 1207294 h 1745456"/>
            <a:gd name="connsiteX20" fmla="*/ 850230 w 4008124"/>
            <a:gd name="connsiteY20" fmla="*/ 1188244 h 1745456"/>
            <a:gd name="connsiteX21" fmla="*/ 694909 w 4008124"/>
            <a:gd name="connsiteY21" fmla="*/ 1126331 h 1745456"/>
            <a:gd name="connsiteX22" fmla="*/ 528761 w 4008124"/>
            <a:gd name="connsiteY22" fmla="*/ 1031081 h 1745456"/>
            <a:gd name="connsiteX23" fmla="*/ 333374 w 4008124"/>
            <a:gd name="connsiteY23" fmla="*/ 1028700 h 1745456"/>
            <a:gd name="connsiteX24" fmla="*/ 173135 w 4008124"/>
            <a:gd name="connsiteY24" fmla="*/ 1083470 h 1745456"/>
            <a:gd name="connsiteX25" fmla="*/ 0 w 4008124"/>
            <a:gd name="connsiteY25" fmla="*/ 1059656 h 1745456"/>
            <a:gd name="connsiteX26" fmla="*/ 17699 w 4008124"/>
            <a:gd name="connsiteY26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782873 w 4008124"/>
            <a:gd name="connsiteY10" fmla="*/ 1264442 h 1745456"/>
            <a:gd name="connsiteX11" fmla="*/ 4003445 w 4008124"/>
            <a:gd name="connsiteY11" fmla="*/ 1338263 h 1745456"/>
            <a:gd name="connsiteX12" fmla="*/ 4005720 w 4008124"/>
            <a:gd name="connsiteY12" fmla="*/ 1745456 h 1745456"/>
            <a:gd name="connsiteX13" fmla="*/ 1683573 w 4008124"/>
            <a:gd name="connsiteY13" fmla="*/ 1364456 h 1745456"/>
            <a:gd name="connsiteX14" fmla="*/ 1559623 w 4008124"/>
            <a:gd name="connsiteY14" fmla="*/ 1333500 h 1745456"/>
            <a:gd name="connsiteX15" fmla="*/ 1518781 w 4008124"/>
            <a:gd name="connsiteY15" fmla="*/ 1352549 h 1745456"/>
            <a:gd name="connsiteX16" fmla="*/ 1374010 w 4008124"/>
            <a:gd name="connsiteY16" fmla="*/ 1283494 h 1745456"/>
            <a:gd name="connsiteX17" fmla="*/ 1200254 w 4008124"/>
            <a:gd name="connsiteY17" fmla="*/ 1235869 h 1745456"/>
            <a:gd name="connsiteX18" fmla="*/ 1036437 w 4008124"/>
            <a:gd name="connsiteY18" fmla="*/ 1197770 h 1745456"/>
            <a:gd name="connsiteX19" fmla="*/ 955799 w 4008124"/>
            <a:gd name="connsiteY19" fmla="*/ 1207294 h 1745456"/>
            <a:gd name="connsiteX20" fmla="*/ 850230 w 4008124"/>
            <a:gd name="connsiteY20" fmla="*/ 1188244 h 1745456"/>
            <a:gd name="connsiteX21" fmla="*/ 694909 w 4008124"/>
            <a:gd name="connsiteY21" fmla="*/ 1126331 h 1745456"/>
            <a:gd name="connsiteX22" fmla="*/ 528761 w 4008124"/>
            <a:gd name="connsiteY22" fmla="*/ 1031081 h 1745456"/>
            <a:gd name="connsiteX23" fmla="*/ 333374 w 4008124"/>
            <a:gd name="connsiteY23" fmla="*/ 1028700 h 1745456"/>
            <a:gd name="connsiteX24" fmla="*/ 173135 w 4008124"/>
            <a:gd name="connsiteY24" fmla="*/ 1083470 h 1745456"/>
            <a:gd name="connsiteX25" fmla="*/ 0 w 4008124"/>
            <a:gd name="connsiteY25" fmla="*/ 1059656 h 1745456"/>
            <a:gd name="connsiteX26" fmla="*/ 17699 w 4008124"/>
            <a:gd name="connsiteY26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204178 w 4008124"/>
            <a:gd name="connsiteY10" fmla="*/ 1145380 h 1745456"/>
            <a:gd name="connsiteX11" fmla="*/ 3782873 w 4008124"/>
            <a:gd name="connsiteY11" fmla="*/ 1264442 h 1745456"/>
            <a:gd name="connsiteX12" fmla="*/ 4003445 w 4008124"/>
            <a:gd name="connsiteY12" fmla="*/ 1338263 h 1745456"/>
            <a:gd name="connsiteX13" fmla="*/ 4005720 w 4008124"/>
            <a:gd name="connsiteY13" fmla="*/ 1745456 h 1745456"/>
            <a:gd name="connsiteX14" fmla="*/ 1683573 w 4008124"/>
            <a:gd name="connsiteY14" fmla="*/ 1364456 h 1745456"/>
            <a:gd name="connsiteX15" fmla="*/ 1559623 w 4008124"/>
            <a:gd name="connsiteY15" fmla="*/ 1333500 h 1745456"/>
            <a:gd name="connsiteX16" fmla="*/ 1518781 w 4008124"/>
            <a:gd name="connsiteY16" fmla="*/ 1352549 h 1745456"/>
            <a:gd name="connsiteX17" fmla="*/ 1374010 w 4008124"/>
            <a:gd name="connsiteY17" fmla="*/ 1283494 h 1745456"/>
            <a:gd name="connsiteX18" fmla="*/ 1200254 w 4008124"/>
            <a:gd name="connsiteY18" fmla="*/ 1235869 h 1745456"/>
            <a:gd name="connsiteX19" fmla="*/ 1036437 w 4008124"/>
            <a:gd name="connsiteY19" fmla="*/ 1197770 h 1745456"/>
            <a:gd name="connsiteX20" fmla="*/ 955799 w 4008124"/>
            <a:gd name="connsiteY20" fmla="*/ 1207294 h 1745456"/>
            <a:gd name="connsiteX21" fmla="*/ 850230 w 4008124"/>
            <a:gd name="connsiteY21" fmla="*/ 1188244 h 1745456"/>
            <a:gd name="connsiteX22" fmla="*/ 694909 w 4008124"/>
            <a:gd name="connsiteY22" fmla="*/ 1126331 h 1745456"/>
            <a:gd name="connsiteX23" fmla="*/ 528761 w 4008124"/>
            <a:gd name="connsiteY23" fmla="*/ 1031081 h 1745456"/>
            <a:gd name="connsiteX24" fmla="*/ 333374 w 4008124"/>
            <a:gd name="connsiteY24" fmla="*/ 1028700 h 1745456"/>
            <a:gd name="connsiteX25" fmla="*/ 173135 w 4008124"/>
            <a:gd name="connsiteY25" fmla="*/ 1083470 h 1745456"/>
            <a:gd name="connsiteX26" fmla="*/ 0 w 4008124"/>
            <a:gd name="connsiteY26" fmla="*/ 1059656 h 1745456"/>
            <a:gd name="connsiteX27" fmla="*/ 17699 w 4008124"/>
            <a:gd name="connsiteY27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204178 w 4008124"/>
            <a:gd name="connsiteY10" fmla="*/ 1145380 h 1745456"/>
            <a:gd name="connsiteX11" fmla="*/ 3782873 w 4008124"/>
            <a:gd name="connsiteY11" fmla="*/ 1264442 h 1745456"/>
            <a:gd name="connsiteX12" fmla="*/ 3403401 w 4008124"/>
            <a:gd name="connsiteY12" fmla="*/ 1185861 h 1745456"/>
            <a:gd name="connsiteX13" fmla="*/ 4003445 w 4008124"/>
            <a:gd name="connsiteY13" fmla="*/ 1338263 h 1745456"/>
            <a:gd name="connsiteX14" fmla="*/ 4005720 w 4008124"/>
            <a:gd name="connsiteY14" fmla="*/ 1745456 h 1745456"/>
            <a:gd name="connsiteX15" fmla="*/ 1683573 w 4008124"/>
            <a:gd name="connsiteY15" fmla="*/ 1364456 h 1745456"/>
            <a:gd name="connsiteX16" fmla="*/ 1559623 w 4008124"/>
            <a:gd name="connsiteY16" fmla="*/ 1333500 h 1745456"/>
            <a:gd name="connsiteX17" fmla="*/ 1518781 w 4008124"/>
            <a:gd name="connsiteY17" fmla="*/ 1352549 h 1745456"/>
            <a:gd name="connsiteX18" fmla="*/ 1374010 w 4008124"/>
            <a:gd name="connsiteY18" fmla="*/ 1283494 h 1745456"/>
            <a:gd name="connsiteX19" fmla="*/ 1200254 w 4008124"/>
            <a:gd name="connsiteY19" fmla="*/ 1235869 h 1745456"/>
            <a:gd name="connsiteX20" fmla="*/ 1036437 w 4008124"/>
            <a:gd name="connsiteY20" fmla="*/ 1197770 h 1745456"/>
            <a:gd name="connsiteX21" fmla="*/ 955799 w 4008124"/>
            <a:gd name="connsiteY21" fmla="*/ 1207294 h 1745456"/>
            <a:gd name="connsiteX22" fmla="*/ 850230 w 4008124"/>
            <a:gd name="connsiteY22" fmla="*/ 1188244 h 1745456"/>
            <a:gd name="connsiteX23" fmla="*/ 694909 w 4008124"/>
            <a:gd name="connsiteY23" fmla="*/ 1126331 h 1745456"/>
            <a:gd name="connsiteX24" fmla="*/ 528761 w 4008124"/>
            <a:gd name="connsiteY24" fmla="*/ 1031081 h 1745456"/>
            <a:gd name="connsiteX25" fmla="*/ 333374 w 4008124"/>
            <a:gd name="connsiteY25" fmla="*/ 1028700 h 1745456"/>
            <a:gd name="connsiteX26" fmla="*/ 173135 w 4008124"/>
            <a:gd name="connsiteY26" fmla="*/ 1083470 h 1745456"/>
            <a:gd name="connsiteX27" fmla="*/ 0 w 4008124"/>
            <a:gd name="connsiteY27" fmla="*/ 1059656 h 1745456"/>
            <a:gd name="connsiteX28" fmla="*/ 17699 w 4008124"/>
            <a:gd name="connsiteY28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204178 w 4008124"/>
            <a:gd name="connsiteY10" fmla="*/ 1145380 h 1745456"/>
            <a:gd name="connsiteX11" fmla="*/ 3782873 w 4008124"/>
            <a:gd name="connsiteY11" fmla="*/ 1264442 h 1745456"/>
            <a:gd name="connsiteX12" fmla="*/ 3403401 w 4008124"/>
            <a:gd name="connsiteY12" fmla="*/ 1185861 h 1745456"/>
            <a:gd name="connsiteX13" fmla="*/ 3780502 w 4008124"/>
            <a:gd name="connsiteY13" fmla="*/ 1285874 h 1745456"/>
            <a:gd name="connsiteX14" fmla="*/ 4003445 w 4008124"/>
            <a:gd name="connsiteY14" fmla="*/ 1338263 h 1745456"/>
            <a:gd name="connsiteX15" fmla="*/ 4005720 w 4008124"/>
            <a:gd name="connsiteY15" fmla="*/ 1745456 h 1745456"/>
            <a:gd name="connsiteX16" fmla="*/ 1683573 w 4008124"/>
            <a:gd name="connsiteY16" fmla="*/ 1364456 h 1745456"/>
            <a:gd name="connsiteX17" fmla="*/ 1559623 w 4008124"/>
            <a:gd name="connsiteY17" fmla="*/ 1333500 h 1745456"/>
            <a:gd name="connsiteX18" fmla="*/ 1518781 w 4008124"/>
            <a:gd name="connsiteY18" fmla="*/ 1352549 h 1745456"/>
            <a:gd name="connsiteX19" fmla="*/ 1374010 w 4008124"/>
            <a:gd name="connsiteY19" fmla="*/ 1283494 h 1745456"/>
            <a:gd name="connsiteX20" fmla="*/ 1200254 w 4008124"/>
            <a:gd name="connsiteY20" fmla="*/ 1235869 h 1745456"/>
            <a:gd name="connsiteX21" fmla="*/ 1036437 w 4008124"/>
            <a:gd name="connsiteY21" fmla="*/ 1197770 h 1745456"/>
            <a:gd name="connsiteX22" fmla="*/ 955799 w 4008124"/>
            <a:gd name="connsiteY22" fmla="*/ 1207294 h 1745456"/>
            <a:gd name="connsiteX23" fmla="*/ 850230 w 4008124"/>
            <a:gd name="connsiteY23" fmla="*/ 1188244 h 1745456"/>
            <a:gd name="connsiteX24" fmla="*/ 694909 w 4008124"/>
            <a:gd name="connsiteY24" fmla="*/ 1126331 h 1745456"/>
            <a:gd name="connsiteX25" fmla="*/ 528761 w 4008124"/>
            <a:gd name="connsiteY25" fmla="*/ 1031081 h 1745456"/>
            <a:gd name="connsiteX26" fmla="*/ 333374 w 4008124"/>
            <a:gd name="connsiteY26" fmla="*/ 1028700 h 1745456"/>
            <a:gd name="connsiteX27" fmla="*/ 173135 w 4008124"/>
            <a:gd name="connsiteY27" fmla="*/ 1083470 h 1745456"/>
            <a:gd name="connsiteX28" fmla="*/ 0 w 4008124"/>
            <a:gd name="connsiteY28" fmla="*/ 1059656 h 1745456"/>
            <a:gd name="connsiteX29" fmla="*/ 17699 w 4008124"/>
            <a:gd name="connsiteY29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204178 w 4008124"/>
            <a:gd name="connsiteY10" fmla="*/ 1145380 h 1745456"/>
            <a:gd name="connsiteX11" fmla="*/ 3782873 w 4008124"/>
            <a:gd name="connsiteY11" fmla="*/ 1264442 h 1745456"/>
            <a:gd name="connsiteX12" fmla="*/ 3403401 w 4008124"/>
            <a:gd name="connsiteY12" fmla="*/ 1185861 h 1745456"/>
            <a:gd name="connsiteX13" fmla="*/ 3780502 w 4008124"/>
            <a:gd name="connsiteY13" fmla="*/ 1259680 h 1745456"/>
            <a:gd name="connsiteX14" fmla="*/ 4003445 w 4008124"/>
            <a:gd name="connsiteY14" fmla="*/ 1338263 h 1745456"/>
            <a:gd name="connsiteX15" fmla="*/ 4005720 w 4008124"/>
            <a:gd name="connsiteY15" fmla="*/ 1745456 h 1745456"/>
            <a:gd name="connsiteX16" fmla="*/ 1683573 w 4008124"/>
            <a:gd name="connsiteY16" fmla="*/ 1364456 h 1745456"/>
            <a:gd name="connsiteX17" fmla="*/ 1559623 w 4008124"/>
            <a:gd name="connsiteY17" fmla="*/ 1333500 h 1745456"/>
            <a:gd name="connsiteX18" fmla="*/ 1518781 w 4008124"/>
            <a:gd name="connsiteY18" fmla="*/ 1352549 h 1745456"/>
            <a:gd name="connsiteX19" fmla="*/ 1374010 w 4008124"/>
            <a:gd name="connsiteY19" fmla="*/ 1283494 h 1745456"/>
            <a:gd name="connsiteX20" fmla="*/ 1200254 w 4008124"/>
            <a:gd name="connsiteY20" fmla="*/ 1235869 h 1745456"/>
            <a:gd name="connsiteX21" fmla="*/ 1036437 w 4008124"/>
            <a:gd name="connsiteY21" fmla="*/ 1197770 h 1745456"/>
            <a:gd name="connsiteX22" fmla="*/ 955799 w 4008124"/>
            <a:gd name="connsiteY22" fmla="*/ 1207294 h 1745456"/>
            <a:gd name="connsiteX23" fmla="*/ 850230 w 4008124"/>
            <a:gd name="connsiteY23" fmla="*/ 1188244 h 1745456"/>
            <a:gd name="connsiteX24" fmla="*/ 694909 w 4008124"/>
            <a:gd name="connsiteY24" fmla="*/ 1126331 h 1745456"/>
            <a:gd name="connsiteX25" fmla="*/ 528761 w 4008124"/>
            <a:gd name="connsiteY25" fmla="*/ 1031081 h 1745456"/>
            <a:gd name="connsiteX26" fmla="*/ 333374 w 4008124"/>
            <a:gd name="connsiteY26" fmla="*/ 1028700 h 1745456"/>
            <a:gd name="connsiteX27" fmla="*/ 173135 w 4008124"/>
            <a:gd name="connsiteY27" fmla="*/ 1083470 h 1745456"/>
            <a:gd name="connsiteX28" fmla="*/ 0 w 4008124"/>
            <a:gd name="connsiteY28" fmla="*/ 1059656 h 1745456"/>
            <a:gd name="connsiteX29" fmla="*/ 17699 w 4008124"/>
            <a:gd name="connsiteY29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204178 w 4008124"/>
            <a:gd name="connsiteY10" fmla="*/ 1145380 h 1745456"/>
            <a:gd name="connsiteX11" fmla="*/ 3782873 w 4008124"/>
            <a:gd name="connsiteY11" fmla="*/ 1264442 h 1745456"/>
            <a:gd name="connsiteX12" fmla="*/ 3403401 w 4008124"/>
            <a:gd name="connsiteY12" fmla="*/ 1195386 h 1745456"/>
            <a:gd name="connsiteX13" fmla="*/ 3780502 w 4008124"/>
            <a:gd name="connsiteY13" fmla="*/ 1259680 h 1745456"/>
            <a:gd name="connsiteX14" fmla="*/ 4003445 w 4008124"/>
            <a:gd name="connsiteY14" fmla="*/ 1338263 h 1745456"/>
            <a:gd name="connsiteX15" fmla="*/ 4005720 w 4008124"/>
            <a:gd name="connsiteY15" fmla="*/ 1745456 h 1745456"/>
            <a:gd name="connsiteX16" fmla="*/ 1683573 w 4008124"/>
            <a:gd name="connsiteY16" fmla="*/ 1364456 h 1745456"/>
            <a:gd name="connsiteX17" fmla="*/ 1559623 w 4008124"/>
            <a:gd name="connsiteY17" fmla="*/ 1333500 h 1745456"/>
            <a:gd name="connsiteX18" fmla="*/ 1518781 w 4008124"/>
            <a:gd name="connsiteY18" fmla="*/ 1352549 h 1745456"/>
            <a:gd name="connsiteX19" fmla="*/ 1374010 w 4008124"/>
            <a:gd name="connsiteY19" fmla="*/ 1283494 h 1745456"/>
            <a:gd name="connsiteX20" fmla="*/ 1200254 w 4008124"/>
            <a:gd name="connsiteY20" fmla="*/ 1235869 h 1745456"/>
            <a:gd name="connsiteX21" fmla="*/ 1036437 w 4008124"/>
            <a:gd name="connsiteY21" fmla="*/ 1197770 h 1745456"/>
            <a:gd name="connsiteX22" fmla="*/ 955799 w 4008124"/>
            <a:gd name="connsiteY22" fmla="*/ 1207294 h 1745456"/>
            <a:gd name="connsiteX23" fmla="*/ 850230 w 4008124"/>
            <a:gd name="connsiteY23" fmla="*/ 1188244 h 1745456"/>
            <a:gd name="connsiteX24" fmla="*/ 694909 w 4008124"/>
            <a:gd name="connsiteY24" fmla="*/ 1126331 h 1745456"/>
            <a:gd name="connsiteX25" fmla="*/ 528761 w 4008124"/>
            <a:gd name="connsiteY25" fmla="*/ 1031081 h 1745456"/>
            <a:gd name="connsiteX26" fmla="*/ 333374 w 4008124"/>
            <a:gd name="connsiteY26" fmla="*/ 1028700 h 1745456"/>
            <a:gd name="connsiteX27" fmla="*/ 173135 w 4008124"/>
            <a:gd name="connsiteY27" fmla="*/ 1083470 h 1745456"/>
            <a:gd name="connsiteX28" fmla="*/ 0 w 4008124"/>
            <a:gd name="connsiteY28" fmla="*/ 1059656 h 1745456"/>
            <a:gd name="connsiteX29" fmla="*/ 17699 w 4008124"/>
            <a:gd name="connsiteY29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168602 w 4008124"/>
            <a:gd name="connsiteY10" fmla="*/ 1164430 h 1745456"/>
            <a:gd name="connsiteX11" fmla="*/ 3782873 w 4008124"/>
            <a:gd name="connsiteY11" fmla="*/ 1264442 h 1745456"/>
            <a:gd name="connsiteX12" fmla="*/ 3403401 w 4008124"/>
            <a:gd name="connsiteY12" fmla="*/ 1195386 h 1745456"/>
            <a:gd name="connsiteX13" fmla="*/ 3780502 w 4008124"/>
            <a:gd name="connsiteY13" fmla="*/ 1259680 h 1745456"/>
            <a:gd name="connsiteX14" fmla="*/ 4003445 w 4008124"/>
            <a:gd name="connsiteY14" fmla="*/ 1338263 h 1745456"/>
            <a:gd name="connsiteX15" fmla="*/ 4005720 w 4008124"/>
            <a:gd name="connsiteY15" fmla="*/ 1745456 h 1745456"/>
            <a:gd name="connsiteX16" fmla="*/ 1683573 w 4008124"/>
            <a:gd name="connsiteY16" fmla="*/ 1364456 h 1745456"/>
            <a:gd name="connsiteX17" fmla="*/ 1559623 w 4008124"/>
            <a:gd name="connsiteY17" fmla="*/ 1333500 h 1745456"/>
            <a:gd name="connsiteX18" fmla="*/ 1518781 w 4008124"/>
            <a:gd name="connsiteY18" fmla="*/ 1352549 h 1745456"/>
            <a:gd name="connsiteX19" fmla="*/ 1374010 w 4008124"/>
            <a:gd name="connsiteY19" fmla="*/ 1283494 h 1745456"/>
            <a:gd name="connsiteX20" fmla="*/ 1200254 w 4008124"/>
            <a:gd name="connsiteY20" fmla="*/ 1235869 h 1745456"/>
            <a:gd name="connsiteX21" fmla="*/ 1036437 w 4008124"/>
            <a:gd name="connsiteY21" fmla="*/ 1197770 h 1745456"/>
            <a:gd name="connsiteX22" fmla="*/ 955799 w 4008124"/>
            <a:gd name="connsiteY22" fmla="*/ 1207294 h 1745456"/>
            <a:gd name="connsiteX23" fmla="*/ 850230 w 4008124"/>
            <a:gd name="connsiteY23" fmla="*/ 1188244 h 1745456"/>
            <a:gd name="connsiteX24" fmla="*/ 694909 w 4008124"/>
            <a:gd name="connsiteY24" fmla="*/ 1126331 h 1745456"/>
            <a:gd name="connsiteX25" fmla="*/ 528761 w 4008124"/>
            <a:gd name="connsiteY25" fmla="*/ 1031081 h 1745456"/>
            <a:gd name="connsiteX26" fmla="*/ 333374 w 4008124"/>
            <a:gd name="connsiteY26" fmla="*/ 1028700 h 1745456"/>
            <a:gd name="connsiteX27" fmla="*/ 173135 w 4008124"/>
            <a:gd name="connsiteY27" fmla="*/ 1083470 h 1745456"/>
            <a:gd name="connsiteX28" fmla="*/ 0 w 4008124"/>
            <a:gd name="connsiteY28" fmla="*/ 1059656 h 1745456"/>
            <a:gd name="connsiteX29" fmla="*/ 17699 w 4008124"/>
            <a:gd name="connsiteY29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168602 w 4008124"/>
            <a:gd name="connsiteY10" fmla="*/ 1164430 h 1745456"/>
            <a:gd name="connsiteX11" fmla="*/ 3782873 w 4008124"/>
            <a:gd name="connsiteY11" fmla="*/ 1264442 h 1745456"/>
            <a:gd name="connsiteX12" fmla="*/ 3403401 w 4008124"/>
            <a:gd name="connsiteY12" fmla="*/ 1195386 h 1745456"/>
            <a:gd name="connsiteX13" fmla="*/ 3780502 w 4008124"/>
            <a:gd name="connsiteY13" fmla="*/ 1259680 h 1745456"/>
            <a:gd name="connsiteX14" fmla="*/ 4003445 w 4008124"/>
            <a:gd name="connsiteY14" fmla="*/ 1338263 h 1745456"/>
            <a:gd name="connsiteX15" fmla="*/ 4005720 w 4008124"/>
            <a:gd name="connsiteY15" fmla="*/ 1745456 h 1745456"/>
            <a:gd name="connsiteX16" fmla="*/ 1683573 w 4008124"/>
            <a:gd name="connsiteY16" fmla="*/ 1364456 h 1745456"/>
            <a:gd name="connsiteX17" fmla="*/ 1559623 w 4008124"/>
            <a:gd name="connsiteY17" fmla="*/ 1333500 h 1745456"/>
            <a:gd name="connsiteX18" fmla="*/ 1518781 w 4008124"/>
            <a:gd name="connsiteY18" fmla="*/ 1352549 h 1745456"/>
            <a:gd name="connsiteX19" fmla="*/ 1374010 w 4008124"/>
            <a:gd name="connsiteY19" fmla="*/ 1283494 h 1745456"/>
            <a:gd name="connsiteX20" fmla="*/ 1200254 w 4008124"/>
            <a:gd name="connsiteY20" fmla="*/ 1235869 h 1745456"/>
            <a:gd name="connsiteX21" fmla="*/ 1036437 w 4008124"/>
            <a:gd name="connsiteY21" fmla="*/ 1197770 h 1745456"/>
            <a:gd name="connsiteX22" fmla="*/ 955799 w 4008124"/>
            <a:gd name="connsiteY22" fmla="*/ 1207294 h 1745456"/>
            <a:gd name="connsiteX23" fmla="*/ 850230 w 4008124"/>
            <a:gd name="connsiteY23" fmla="*/ 1188244 h 1745456"/>
            <a:gd name="connsiteX24" fmla="*/ 694909 w 4008124"/>
            <a:gd name="connsiteY24" fmla="*/ 1126331 h 1745456"/>
            <a:gd name="connsiteX25" fmla="*/ 528761 w 4008124"/>
            <a:gd name="connsiteY25" fmla="*/ 1031081 h 1745456"/>
            <a:gd name="connsiteX26" fmla="*/ 333374 w 4008124"/>
            <a:gd name="connsiteY26" fmla="*/ 1028700 h 1745456"/>
            <a:gd name="connsiteX27" fmla="*/ 173135 w 4008124"/>
            <a:gd name="connsiteY27" fmla="*/ 1083470 h 1745456"/>
            <a:gd name="connsiteX28" fmla="*/ 0 w 4008124"/>
            <a:gd name="connsiteY28" fmla="*/ 1059656 h 1745456"/>
            <a:gd name="connsiteX29" fmla="*/ 17699 w 4008124"/>
            <a:gd name="connsiteY29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3168602 w 4008124"/>
            <a:gd name="connsiteY10" fmla="*/ 1164430 h 1745456"/>
            <a:gd name="connsiteX11" fmla="*/ 2983608 w 4008124"/>
            <a:gd name="connsiteY11" fmla="*/ 1119186 h 1745456"/>
            <a:gd name="connsiteX12" fmla="*/ 3782873 w 4008124"/>
            <a:gd name="connsiteY12" fmla="*/ 1264442 h 1745456"/>
            <a:gd name="connsiteX13" fmla="*/ 3403401 w 4008124"/>
            <a:gd name="connsiteY13" fmla="*/ 1195386 h 1745456"/>
            <a:gd name="connsiteX14" fmla="*/ 3780502 w 4008124"/>
            <a:gd name="connsiteY14" fmla="*/ 1259680 h 1745456"/>
            <a:gd name="connsiteX15" fmla="*/ 4003445 w 4008124"/>
            <a:gd name="connsiteY15" fmla="*/ 1338263 h 1745456"/>
            <a:gd name="connsiteX16" fmla="*/ 4005720 w 4008124"/>
            <a:gd name="connsiteY16" fmla="*/ 1745456 h 1745456"/>
            <a:gd name="connsiteX17" fmla="*/ 1683573 w 4008124"/>
            <a:gd name="connsiteY17" fmla="*/ 1364456 h 1745456"/>
            <a:gd name="connsiteX18" fmla="*/ 1559623 w 4008124"/>
            <a:gd name="connsiteY18" fmla="*/ 1333500 h 1745456"/>
            <a:gd name="connsiteX19" fmla="*/ 1518781 w 4008124"/>
            <a:gd name="connsiteY19" fmla="*/ 1352549 h 1745456"/>
            <a:gd name="connsiteX20" fmla="*/ 1374010 w 4008124"/>
            <a:gd name="connsiteY20" fmla="*/ 1283494 h 1745456"/>
            <a:gd name="connsiteX21" fmla="*/ 1200254 w 4008124"/>
            <a:gd name="connsiteY21" fmla="*/ 1235869 h 1745456"/>
            <a:gd name="connsiteX22" fmla="*/ 1036437 w 4008124"/>
            <a:gd name="connsiteY22" fmla="*/ 1197770 h 1745456"/>
            <a:gd name="connsiteX23" fmla="*/ 955799 w 4008124"/>
            <a:gd name="connsiteY23" fmla="*/ 1207294 h 1745456"/>
            <a:gd name="connsiteX24" fmla="*/ 850230 w 4008124"/>
            <a:gd name="connsiteY24" fmla="*/ 1188244 h 1745456"/>
            <a:gd name="connsiteX25" fmla="*/ 694909 w 4008124"/>
            <a:gd name="connsiteY25" fmla="*/ 1126331 h 1745456"/>
            <a:gd name="connsiteX26" fmla="*/ 528761 w 4008124"/>
            <a:gd name="connsiteY26" fmla="*/ 1031081 h 1745456"/>
            <a:gd name="connsiteX27" fmla="*/ 333374 w 4008124"/>
            <a:gd name="connsiteY27" fmla="*/ 1028700 h 1745456"/>
            <a:gd name="connsiteX28" fmla="*/ 173135 w 4008124"/>
            <a:gd name="connsiteY28" fmla="*/ 1083470 h 1745456"/>
            <a:gd name="connsiteX29" fmla="*/ 0 w 4008124"/>
            <a:gd name="connsiteY29" fmla="*/ 1059656 h 1745456"/>
            <a:gd name="connsiteX30" fmla="*/ 17699 w 4008124"/>
            <a:gd name="connsiteY30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67783 w 4008124"/>
            <a:gd name="connsiteY10" fmla="*/ 1069180 h 1745456"/>
            <a:gd name="connsiteX11" fmla="*/ 3168602 w 4008124"/>
            <a:gd name="connsiteY11" fmla="*/ 1164430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48810 w 4008124"/>
            <a:gd name="connsiteY10" fmla="*/ 1092992 h 1745456"/>
            <a:gd name="connsiteX11" fmla="*/ 3168602 w 4008124"/>
            <a:gd name="connsiteY11" fmla="*/ 1164430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48810 w 4008124"/>
            <a:gd name="connsiteY10" fmla="*/ 1092992 h 1745456"/>
            <a:gd name="connsiteX11" fmla="*/ 2983608 w 4008124"/>
            <a:gd name="connsiteY11" fmla="*/ 1119186 h 1745456"/>
            <a:gd name="connsiteX12" fmla="*/ 3782873 w 4008124"/>
            <a:gd name="connsiteY12" fmla="*/ 1264442 h 1745456"/>
            <a:gd name="connsiteX13" fmla="*/ 3403401 w 4008124"/>
            <a:gd name="connsiteY13" fmla="*/ 1195386 h 1745456"/>
            <a:gd name="connsiteX14" fmla="*/ 3780502 w 4008124"/>
            <a:gd name="connsiteY14" fmla="*/ 1259680 h 1745456"/>
            <a:gd name="connsiteX15" fmla="*/ 4003445 w 4008124"/>
            <a:gd name="connsiteY15" fmla="*/ 1338263 h 1745456"/>
            <a:gd name="connsiteX16" fmla="*/ 4005720 w 4008124"/>
            <a:gd name="connsiteY16" fmla="*/ 1745456 h 1745456"/>
            <a:gd name="connsiteX17" fmla="*/ 1683573 w 4008124"/>
            <a:gd name="connsiteY17" fmla="*/ 1364456 h 1745456"/>
            <a:gd name="connsiteX18" fmla="*/ 1559623 w 4008124"/>
            <a:gd name="connsiteY18" fmla="*/ 1333500 h 1745456"/>
            <a:gd name="connsiteX19" fmla="*/ 1518781 w 4008124"/>
            <a:gd name="connsiteY19" fmla="*/ 1352549 h 1745456"/>
            <a:gd name="connsiteX20" fmla="*/ 1374010 w 4008124"/>
            <a:gd name="connsiteY20" fmla="*/ 1283494 h 1745456"/>
            <a:gd name="connsiteX21" fmla="*/ 1200254 w 4008124"/>
            <a:gd name="connsiteY21" fmla="*/ 1235869 h 1745456"/>
            <a:gd name="connsiteX22" fmla="*/ 1036437 w 4008124"/>
            <a:gd name="connsiteY22" fmla="*/ 1197770 h 1745456"/>
            <a:gd name="connsiteX23" fmla="*/ 955799 w 4008124"/>
            <a:gd name="connsiteY23" fmla="*/ 1207294 h 1745456"/>
            <a:gd name="connsiteX24" fmla="*/ 850230 w 4008124"/>
            <a:gd name="connsiteY24" fmla="*/ 1188244 h 1745456"/>
            <a:gd name="connsiteX25" fmla="*/ 694909 w 4008124"/>
            <a:gd name="connsiteY25" fmla="*/ 1126331 h 1745456"/>
            <a:gd name="connsiteX26" fmla="*/ 528761 w 4008124"/>
            <a:gd name="connsiteY26" fmla="*/ 1031081 h 1745456"/>
            <a:gd name="connsiteX27" fmla="*/ 333374 w 4008124"/>
            <a:gd name="connsiteY27" fmla="*/ 1028700 h 1745456"/>
            <a:gd name="connsiteX28" fmla="*/ 173135 w 4008124"/>
            <a:gd name="connsiteY28" fmla="*/ 1083470 h 1745456"/>
            <a:gd name="connsiteX29" fmla="*/ 0 w 4008124"/>
            <a:gd name="connsiteY29" fmla="*/ 1059656 h 1745456"/>
            <a:gd name="connsiteX30" fmla="*/ 17699 w 4008124"/>
            <a:gd name="connsiteY30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48810 w 4008124"/>
            <a:gd name="connsiteY10" fmla="*/ 1092992 h 1745456"/>
            <a:gd name="connsiteX11" fmla="*/ 2867395 w 4008124"/>
            <a:gd name="connsiteY11" fmla="*/ 1107280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48810 w 4008124"/>
            <a:gd name="connsiteY10" fmla="*/ 1092992 h 1745456"/>
            <a:gd name="connsiteX11" fmla="*/ 2869767 w 4008124"/>
            <a:gd name="connsiteY11" fmla="*/ 1100136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94648 w 4008124"/>
            <a:gd name="connsiteY9" fmla="*/ 1031080 h 1745456"/>
            <a:gd name="connsiteX10" fmla="*/ 2739323 w 4008124"/>
            <a:gd name="connsiteY10" fmla="*/ 1090611 h 1745456"/>
            <a:gd name="connsiteX11" fmla="*/ 2869767 w 4008124"/>
            <a:gd name="connsiteY11" fmla="*/ 1100136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656312 w 4008124"/>
            <a:gd name="connsiteY9" fmla="*/ 1064418 h 1745456"/>
            <a:gd name="connsiteX10" fmla="*/ 2739323 w 4008124"/>
            <a:gd name="connsiteY10" fmla="*/ 1090611 h 1745456"/>
            <a:gd name="connsiteX11" fmla="*/ 2869767 w 4008124"/>
            <a:gd name="connsiteY11" fmla="*/ 1100136 h 1745456"/>
            <a:gd name="connsiteX12" fmla="*/ 2983608 w 4008124"/>
            <a:gd name="connsiteY12" fmla="*/ 1119186 h 1745456"/>
            <a:gd name="connsiteX13" fmla="*/ 3782873 w 4008124"/>
            <a:gd name="connsiteY13" fmla="*/ 1264442 h 1745456"/>
            <a:gd name="connsiteX14" fmla="*/ 3403401 w 4008124"/>
            <a:gd name="connsiteY14" fmla="*/ 1195386 h 1745456"/>
            <a:gd name="connsiteX15" fmla="*/ 3780502 w 4008124"/>
            <a:gd name="connsiteY15" fmla="*/ 1259680 h 1745456"/>
            <a:gd name="connsiteX16" fmla="*/ 4003445 w 4008124"/>
            <a:gd name="connsiteY16" fmla="*/ 1338263 h 1745456"/>
            <a:gd name="connsiteX17" fmla="*/ 4005720 w 4008124"/>
            <a:gd name="connsiteY17" fmla="*/ 1745456 h 1745456"/>
            <a:gd name="connsiteX18" fmla="*/ 1683573 w 4008124"/>
            <a:gd name="connsiteY18" fmla="*/ 1364456 h 1745456"/>
            <a:gd name="connsiteX19" fmla="*/ 1559623 w 4008124"/>
            <a:gd name="connsiteY19" fmla="*/ 1333500 h 1745456"/>
            <a:gd name="connsiteX20" fmla="*/ 1518781 w 4008124"/>
            <a:gd name="connsiteY20" fmla="*/ 1352549 h 1745456"/>
            <a:gd name="connsiteX21" fmla="*/ 1374010 w 4008124"/>
            <a:gd name="connsiteY21" fmla="*/ 1283494 h 1745456"/>
            <a:gd name="connsiteX22" fmla="*/ 1200254 w 4008124"/>
            <a:gd name="connsiteY22" fmla="*/ 1235869 h 1745456"/>
            <a:gd name="connsiteX23" fmla="*/ 1036437 w 4008124"/>
            <a:gd name="connsiteY23" fmla="*/ 1197770 h 1745456"/>
            <a:gd name="connsiteX24" fmla="*/ 955799 w 4008124"/>
            <a:gd name="connsiteY24" fmla="*/ 1207294 h 1745456"/>
            <a:gd name="connsiteX25" fmla="*/ 850230 w 4008124"/>
            <a:gd name="connsiteY25" fmla="*/ 1188244 h 1745456"/>
            <a:gd name="connsiteX26" fmla="*/ 694909 w 4008124"/>
            <a:gd name="connsiteY26" fmla="*/ 1126331 h 1745456"/>
            <a:gd name="connsiteX27" fmla="*/ 528761 w 4008124"/>
            <a:gd name="connsiteY27" fmla="*/ 1031081 h 1745456"/>
            <a:gd name="connsiteX28" fmla="*/ 333374 w 4008124"/>
            <a:gd name="connsiteY28" fmla="*/ 1028700 h 1745456"/>
            <a:gd name="connsiteX29" fmla="*/ 173135 w 4008124"/>
            <a:gd name="connsiteY29" fmla="*/ 1083470 h 1745456"/>
            <a:gd name="connsiteX30" fmla="*/ 0 w 4008124"/>
            <a:gd name="connsiteY30" fmla="*/ 1059656 h 1745456"/>
            <a:gd name="connsiteX31" fmla="*/ 17699 w 4008124"/>
            <a:gd name="connsiteY31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75674 w 4008124"/>
            <a:gd name="connsiteY9" fmla="*/ 1028699 h 1745456"/>
            <a:gd name="connsiteX10" fmla="*/ 2656312 w 4008124"/>
            <a:gd name="connsiteY10" fmla="*/ 1064418 h 1745456"/>
            <a:gd name="connsiteX11" fmla="*/ 2739323 w 4008124"/>
            <a:gd name="connsiteY11" fmla="*/ 1090611 h 1745456"/>
            <a:gd name="connsiteX12" fmla="*/ 2869767 w 4008124"/>
            <a:gd name="connsiteY12" fmla="*/ 1100136 h 1745456"/>
            <a:gd name="connsiteX13" fmla="*/ 2983608 w 4008124"/>
            <a:gd name="connsiteY13" fmla="*/ 1119186 h 1745456"/>
            <a:gd name="connsiteX14" fmla="*/ 3782873 w 4008124"/>
            <a:gd name="connsiteY14" fmla="*/ 1264442 h 1745456"/>
            <a:gd name="connsiteX15" fmla="*/ 3403401 w 4008124"/>
            <a:gd name="connsiteY15" fmla="*/ 1195386 h 1745456"/>
            <a:gd name="connsiteX16" fmla="*/ 3780502 w 4008124"/>
            <a:gd name="connsiteY16" fmla="*/ 1259680 h 1745456"/>
            <a:gd name="connsiteX17" fmla="*/ 4003445 w 4008124"/>
            <a:gd name="connsiteY17" fmla="*/ 1338263 h 1745456"/>
            <a:gd name="connsiteX18" fmla="*/ 4005720 w 4008124"/>
            <a:gd name="connsiteY18" fmla="*/ 1745456 h 1745456"/>
            <a:gd name="connsiteX19" fmla="*/ 1683573 w 4008124"/>
            <a:gd name="connsiteY19" fmla="*/ 1364456 h 1745456"/>
            <a:gd name="connsiteX20" fmla="*/ 1559623 w 4008124"/>
            <a:gd name="connsiteY20" fmla="*/ 1333500 h 1745456"/>
            <a:gd name="connsiteX21" fmla="*/ 1518781 w 4008124"/>
            <a:gd name="connsiteY21" fmla="*/ 1352549 h 1745456"/>
            <a:gd name="connsiteX22" fmla="*/ 1374010 w 4008124"/>
            <a:gd name="connsiteY22" fmla="*/ 1283494 h 1745456"/>
            <a:gd name="connsiteX23" fmla="*/ 1200254 w 4008124"/>
            <a:gd name="connsiteY23" fmla="*/ 1235869 h 1745456"/>
            <a:gd name="connsiteX24" fmla="*/ 1036437 w 4008124"/>
            <a:gd name="connsiteY24" fmla="*/ 1197770 h 1745456"/>
            <a:gd name="connsiteX25" fmla="*/ 955799 w 4008124"/>
            <a:gd name="connsiteY25" fmla="*/ 1207294 h 1745456"/>
            <a:gd name="connsiteX26" fmla="*/ 850230 w 4008124"/>
            <a:gd name="connsiteY26" fmla="*/ 1188244 h 1745456"/>
            <a:gd name="connsiteX27" fmla="*/ 694909 w 4008124"/>
            <a:gd name="connsiteY27" fmla="*/ 1126331 h 1745456"/>
            <a:gd name="connsiteX28" fmla="*/ 528761 w 4008124"/>
            <a:gd name="connsiteY28" fmla="*/ 1031081 h 1745456"/>
            <a:gd name="connsiteX29" fmla="*/ 333374 w 4008124"/>
            <a:gd name="connsiteY29" fmla="*/ 1028700 h 1745456"/>
            <a:gd name="connsiteX30" fmla="*/ 173135 w 4008124"/>
            <a:gd name="connsiteY30" fmla="*/ 1083470 h 1745456"/>
            <a:gd name="connsiteX31" fmla="*/ 0 w 4008124"/>
            <a:gd name="connsiteY31" fmla="*/ 1059656 h 1745456"/>
            <a:gd name="connsiteX32" fmla="*/ 17699 w 4008124"/>
            <a:gd name="connsiteY32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575674 w 4008124"/>
            <a:gd name="connsiteY9" fmla="*/ 1052512 h 1745456"/>
            <a:gd name="connsiteX10" fmla="*/ 2656312 w 4008124"/>
            <a:gd name="connsiteY10" fmla="*/ 1064418 h 1745456"/>
            <a:gd name="connsiteX11" fmla="*/ 2739323 w 4008124"/>
            <a:gd name="connsiteY11" fmla="*/ 1090611 h 1745456"/>
            <a:gd name="connsiteX12" fmla="*/ 2869767 w 4008124"/>
            <a:gd name="connsiteY12" fmla="*/ 1100136 h 1745456"/>
            <a:gd name="connsiteX13" fmla="*/ 2983608 w 4008124"/>
            <a:gd name="connsiteY13" fmla="*/ 1119186 h 1745456"/>
            <a:gd name="connsiteX14" fmla="*/ 3782873 w 4008124"/>
            <a:gd name="connsiteY14" fmla="*/ 1264442 h 1745456"/>
            <a:gd name="connsiteX15" fmla="*/ 3403401 w 4008124"/>
            <a:gd name="connsiteY15" fmla="*/ 1195386 h 1745456"/>
            <a:gd name="connsiteX16" fmla="*/ 3780502 w 4008124"/>
            <a:gd name="connsiteY16" fmla="*/ 1259680 h 1745456"/>
            <a:gd name="connsiteX17" fmla="*/ 4003445 w 4008124"/>
            <a:gd name="connsiteY17" fmla="*/ 1338263 h 1745456"/>
            <a:gd name="connsiteX18" fmla="*/ 4005720 w 4008124"/>
            <a:gd name="connsiteY18" fmla="*/ 1745456 h 1745456"/>
            <a:gd name="connsiteX19" fmla="*/ 1683573 w 4008124"/>
            <a:gd name="connsiteY19" fmla="*/ 1364456 h 1745456"/>
            <a:gd name="connsiteX20" fmla="*/ 1559623 w 4008124"/>
            <a:gd name="connsiteY20" fmla="*/ 1333500 h 1745456"/>
            <a:gd name="connsiteX21" fmla="*/ 1518781 w 4008124"/>
            <a:gd name="connsiteY21" fmla="*/ 1352549 h 1745456"/>
            <a:gd name="connsiteX22" fmla="*/ 1374010 w 4008124"/>
            <a:gd name="connsiteY22" fmla="*/ 1283494 h 1745456"/>
            <a:gd name="connsiteX23" fmla="*/ 1200254 w 4008124"/>
            <a:gd name="connsiteY23" fmla="*/ 1235869 h 1745456"/>
            <a:gd name="connsiteX24" fmla="*/ 1036437 w 4008124"/>
            <a:gd name="connsiteY24" fmla="*/ 1197770 h 1745456"/>
            <a:gd name="connsiteX25" fmla="*/ 955799 w 4008124"/>
            <a:gd name="connsiteY25" fmla="*/ 1207294 h 1745456"/>
            <a:gd name="connsiteX26" fmla="*/ 850230 w 4008124"/>
            <a:gd name="connsiteY26" fmla="*/ 1188244 h 1745456"/>
            <a:gd name="connsiteX27" fmla="*/ 694909 w 4008124"/>
            <a:gd name="connsiteY27" fmla="*/ 1126331 h 1745456"/>
            <a:gd name="connsiteX28" fmla="*/ 528761 w 4008124"/>
            <a:gd name="connsiteY28" fmla="*/ 1031081 h 1745456"/>
            <a:gd name="connsiteX29" fmla="*/ 333374 w 4008124"/>
            <a:gd name="connsiteY29" fmla="*/ 1028700 h 1745456"/>
            <a:gd name="connsiteX30" fmla="*/ 173135 w 4008124"/>
            <a:gd name="connsiteY30" fmla="*/ 1083470 h 1745456"/>
            <a:gd name="connsiteX31" fmla="*/ 0 w 4008124"/>
            <a:gd name="connsiteY31" fmla="*/ 1059656 h 1745456"/>
            <a:gd name="connsiteX32" fmla="*/ 17699 w 4008124"/>
            <a:gd name="connsiteY32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383566 w 4008124"/>
            <a:gd name="connsiteY9" fmla="*/ 964405 h 1745456"/>
            <a:gd name="connsiteX10" fmla="*/ 2575674 w 4008124"/>
            <a:gd name="connsiteY10" fmla="*/ 1052512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381195 w 4008124"/>
            <a:gd name="connsiteY9" fmla="*/ 985837 h 1745456"/>
            <a:gd name="connsiteX10" fmla="*/ 2575674 w 4008124"/>
            <a:gd name="connsiteY10" fmla="*/ 1052512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388310 w 4008124"/>
            <a:gd name="connsiteY9" fmla="*/ 978693 h 1745456"/>
            <a:gd name="connsiteX10" fmla="*/ 2575674 w 4008124"/>
            <a:gd name="connsiteY10" fmla="*/ 1052512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388310 w 4008124"/>
            <a:gd name="connsiteY9" fmla="*/ 978693 h 1745456"/>
            <a:gd name="connsiteX10" fmla="*/ 2575674 w 4008124"/>
            <a:gd name="connsiteY10" fmla="*/ 1052512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61015 w 4008124"/>
            <a:gd name="connsiteY8" fmla="*/ 821533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18325 w 4008124"/>
            <a:gd name="connsiteY8" fmla="*/ 821533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18325 w 4008124"/>
            <a:gd name="connsiteY8" fmla="*/ 821533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97366 w 4008124"/>
            <a:gd name="connsiteY7" fmla="*/ 731043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2499 w 4008124"/>
            <a:gd name="connsiteY6" fmla="*/ 654845 h 1745456"/>
            <a:gd name="connsiteX7" fmla="*/ 1868906 w 4008124"/>
            <a:gd name="connsiteY7" fmla="*/ 742950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766923 w 4008124"/>
            <a:gd name="connsiteY6" fmla="*/ 664370 h 1745456"/>
            <a:gd name="connsiteX7" fmla="*/ 1868906 w 4008124"/>
            <a:gd name="connsiteY7" fmla="*/ 742950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7243 w 4008124"/>
            <a:gd name="connsiteY6" fmla="*/ 685801 h 1745456"/>
            <a:gd name="connsiteX7" fmla="*/ 1868906 w 4008124"/>
            <a:gd name="connsiteY7" fmla="*/ 742950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7243 w 4008124"/>
            <a:gd name="connsiteY6" fmla="*/ 685801 h 1745456"/>
            <a:gd name="connsiteX7" fmla="*/ 1890251 w 4008124"/>
            <a:gd name="connsiteY7" fmla="*/ 740569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19049 h 1745456"/>
            <a:gd name="connsiteX1" fmla="*/ 3686766 w 4008124"/>
            <a:gd name="connsiteY1" fmla="*/ 0 h 1745456"/>
            <a:gd name="connsiteX2" fmla="*/ 2629291 w 4008124"/>
            <a:gd name="connsiteY2" fmla="*/ 678657 h 1745456"/>
            <a:gd name="connsiteX3" fmla="*/ 1805150 w 4008124"/>
            <a:gd name="connsiteY3" fmla="*/ 545305 h 1745456"/>
            <a:gd name="connsiteX4" fmla="*/ 1719338 w 4008124"/>
            <a:gd name="connsiteY4" fmla="*/ 511968 h 1745456"/>
            <a:gd name="connsiteX5" fmla="*/ 1705348 w 4008124"/>
            <a:gd name="connsiteY5" fmla="*/ 571500 h 1745456"/>
            <a:gd name="connsiteX6" fmla="*/ 1807243 w 4008124"/>
            <a:gd name="connsiteY6" fmla="*/ 685801 h 1745456"/>
            <a:gd name="connsiteX7" fmla="*/ 1890251 w 4008124"/>
            <a:gd name="connsiteY7" fmla="*/ 740569 h 1745456"/>
            <a:gd name="connsiteX8" fmla="*/ 2018325 w 4008124"/>
            <a:gd name="connsiteY8" fmla="*/ 814389 h 1745456"/>
            <a:gd name="connsiteX9" fmla="*/ 2388310 w 4008124"/>
            <a:gd name="connsiteY9" fmla="*/ 978693 h 1745456"/>
            <a:gd name="connsiteX10" fmla="*/ 2575674 w 4008124"/>
            <a:gd name="connsiteY10" fmla="*/ 1042987 h 1745456"/>
            <a:gd name="connsiteX11" fmla="*/ 2656312 w 4008124"/>
            <a:gd name="connsiteY11" fmla="*/ 1064418 h 1745456"/>
            <a:gd name="connsiteX12" fmla="*/ 2739323 w 4008124"/>
            <a:gd name="connsiteY12" fmla="*/ 1090611 h 1745456"/>
            <a:gd name="connsiteX13" fmla="*/ 2869767 w 4008124"/>
            <a:gd name="connsiteY13" fmla="*/ 1100136 h 1745456"/>
            <a:gd name="connsiteX14" fmla="*/ 2983608 w 4008124"/>
            <a:gd name="connsiteY14" fmla="*/ 1119186 h 1745456"/>
            <a:gd name="connsiteX15" fmla="*/ 3782873 w 4008124"/>
            <a:gd name="connsiteY15" fmla="*/ 1264442 h 1745456"/>
            <a:gd name="connsiteX16" fmla="*/ 3403401 w 4008124"/>
            <a:gd name="connsiteY16" fmla="*/ 1195386 h 1745456"/>
            <a:gd name="connsiteX17" fmla="*/ 3780502 w 4008124"/>
            <a:gd name="connsiteY17" fmla="*/ 1259680 h 1745456"/>
            <a:gd name="connsiteX18" fmla="*/ 4003445 w 4008124"/>
            <a:gd name="connsiteY18" fmla="*/ 1338263 h 1745456"/>
            <a:gd name="connsiteX19" fmla="*/ 4005720 w 4008124"/>
            <a:gd name="connsiteY19" fmla="*/ 1745456 h 1745456"/>
            <a:gd name="connsiteX20" fmla="*/ 1683573 w 4008124"/>
            <a:gd name="connsiteY20" fmla="*/ 1364456 h 1745456"/>
            <a:gd name="connsiteX21" fmla="*/ 1559623 w 4008124"/>
            <a:gd name="connsiteY21" fmla="*/ 1333500 h 1745456"/>
            <a:gd name="connsiteX22" fmla="*/ 1518781 w 4008124"/>
            <a:gd name="connsiteY22" fmla="*/ 1352549 h 1745456"/>
            <a:gd name="connsiteX23" fmla="*/ 1374010 w 4008124"/>
            <a:gd name="connsiteY23" fmla="*/ 1283494 h 1745456"/>
            <a:gd name="connsiteX24" fmla="*/ 1200254 w 4008124"/>
            <a:gd name="connsiteY24" fmla="*/ 1235869 h 1745456"/>
            <a:gd name="connsiteX25" fmla="*/ 1036437 w 4008124"/>
            <a:gd name="connsiteY25" fmla="*/ 1197770 h 1745456"/>
            <a:gd name="connsiteX26" fmla="*/ 955799 w 4008124"/>
            <a:gd name="connsiteY26" fmla="*/ 1207294 h 1745456"/>
            <a:gd name="connsiteX27" fmla="*/ 850230 w 4008124"/>
            <a:gd name="connsiteY27" fmla="*/ 1188244 h 1745456"/>
            <a:gd name="connsiteX28" fmla="*/ 694909 w 4008124"/>
            <a:gd name="connsiteY28" fmla="*/ 1126331 h 1745456"/>
            <a:gd name="connsiteX29" fmla="*/ 528761 w 4008124"/>
            <a:gd name="connsiteY29" fmla="*/ 1031081 h 1745456"/>
            <a:gd name="connsiteX30" fmla="*/ 333374 w 4008124"/>
            <a:gd name="connsiteY30" fmla="*/ 1028700 h 1745456"/>
            <a:gd name="connsiteX31" fmla="*/ 173135 w 4008124"/>
            <a:gd name="connsiteY31" fmla="*/ 1083470 h 1745456"/>
            <a:gd name="connsiteX32" fmla="*/ 0 w 4008124"/>
            <a:gd name="connsiteY32" fmla="*/ 1059656 h 1745456"/>
            <a:gd name="connsiteX33" fmla="*/ 17699 w 4008124"/>
            <a:gd name="connsiteY33" fmla="*/ 19049 h 1745456"/>
            <a:gd name="connsiteX0" fmla="*/ 17699 w 4008124"/>
            <a:gd name="connsiteY0" fmla="*/ 0 h 1726407"/>
            <a:gd name="connsiteX1" fmla="*/ 3599012 w 4008124"/>
            <a:gd name="connsiteY1" fmla="*/ 45245 h 1726407"/>
            <a:gd name="connsiteX2" fmla="*/ 2629291 w 4008124"/>
            <a:gd name="connsiteY2" fmla="*/ 659608 h 1726407"/>
            <a:gd name="connsiteX3" fmla="*/ 1805150 w 4008124"/>
            <a:gd name="connsiteY3" fmla="*/ 526256 h 1726407"/>
            <a:gd name="connsiteX4" fmla="*/ 1719338 w 4008124"/>
            <a:gd name="connsiteY4" fmla="*/ 492919 h 1726407"/>
            <a:gd name="connsiteX5" fmla="*/ 1705348 w 4008124"/>
            <a:gd name="connsiteY5" fmla="*/ 552451 h 1726407"/>
            <a:gd name="connsiteX6" fmla="*/ 1807243 w 4008124"/>
            <a:gd name="connsiteY6" fmla="*/ 666752 h 1726407"/>
            <a:gd name="connsiteX7" fmla="*/ 1890251 w 4008124"/>
            <a:gd name="connsiteY7" fmla="*/ 721520 h 1726407"/>
            <a:gd name="connsiteX8" fmla="*/ 2018325 w 4008124"/>
            <a:gd name="connsiteY8" fmla="*/ 795340 h 1726407"/>
            <a:gd name="connsiteX9" fmla="*/ 2388310 w 4008124"/>
            <a:gd name="connsiteY9" fmla="*/ 959644 h 1726407"/>
            <a:gd name="connsiteX10" fmla="*/ 2575674 w 4008124"/>
            <a:gd name="connsiteY10" fmla="*/ 1023938 h 1726407"/>
            <a:gd name="connsiteX11" fmla="*/ 2656312 w 4008124"/>
            <a:gd name="connsiteY11" fmla="*/ 1045369 h 1726407"/>
            <a:gd name="connsiteX12" fmla="*/ 2739323 w 4008124"/>
            <a:gd name="connsiteY12" fmla="*/ 1071562 h 1726407"/>
            <a:gd name="connsiteX13" fmla="*/ 2869767 w 4008124"/>
            <a:gd name="connsiteY13" fmla="*/ 1081087 h 1726407"/>
            <a:gd name="connsiteX14" fmla="*/ 2983608 w 4008124"/>
            <a:gd name="connsiteY14" fmla="*/ 1100137 h 1726407"/>
            <a:gd name="connsiteX15" fmla="*/ 3782873 w 4008124"/>
            <a:gd name="connsiteY15" fmla="*/ 1245393 h 1726407"/>
            <a:gd name="connsiteX16" fmla="*/ 3403401 w 4008124"/>
            <a:gd name="connsiteY16" fmla="*/ 1176337 h 1726407"/>
            <a:gd name="connsiteX17" fmla="*/ 3780502 w 4008124"/>
            <a:gd name="connsiteY17" fmla="*/ 1240631 h 1726407"/>
            <a:gd name="connsiteX18" fmla="*/ 4003445 w 4008124"/>
            <a:gd name="connsiteY18" fmla="*/ 1319214 h 1726407"/>
            <a:gd name="connsiteX19" fmla="*/ 4005720 w 4008124"/>
            <a:gd name="connsiteY19" fmla="*/ 1726407 h 1726407"/>
            <a:gd name="connsiteX20" fmla="*/ 1683573 w 4008124"/>
            <a:gd name="connsiteY20" fmla="*/ 1345407 h 1726407"/>
            <a:gd name="connsiteX21" fmla="*/ 1559623 w 4008124"/>
            <a:gd name="connsiteY21" fmla="*/ 1314451 h 1726407"/>
            <a:gd name="connsiteX22" fmla="*/ 1518781 w 4008124"/>
            <a:gd name="connsiteY22" fmla="*/ 1333500 h 1726407"/>
            <a:gd name="connsiteX23" fmla="*/ 1374010 w 4008124"/>
            <a:gd name="connsiteY23" fmla="*/ 1264445 h 1726407"/>
            <a:gd name="connsiteX24" fmla="*/ 1200254 w 4008124"/>
            <a:gd name="connsiteY24" fmla="*/ 1216820 h 1726407"/>
            <a:gd name="connsiteX25" fmla="*/ 1036437 w 4008124"/>
            <a:gd name="connsiteY25" fmla="*/ 1178721 h 1726407"/>
            <a:gd name="connsiteX26" fmla="*/ 955799 w 4008124"/>
            <a:gd name="connsiteY26" fmla="*/ 1188245 h 1726407"/>
            <a:gd name="connsiteX27" fmla="*/ 850230 w 4008124"/>
            <a:gd name="connsiteY27" fmla="*/ 1169195 h 1726407"/>
            <a:gd name="connsiteX28" fmla="*/ 694909 w 4008124"/>
            <a:gd name="connsiteY28" fmla="*/ 1107282 h 1726407"/>
            <a:gd name="connsiteX29" fmla="*/ 528761 w 4008124"/>
            <a:gd name="connsiteY29" fmla="*/ 1012032 h 1726407"/>
            <a:gd name="connsiteX30" fmla="*/ 333374 w 4008124"/>
            <a:gd name="connsiteY30" fmla="*/ 1009651 h 1726407"/>
            <a:gd name="connsiteX31" fmla="*/ 173135 w 4008124"/>
            <a:gd name="connsiteY31" fmla="*/ 1064421 h 1726407"/>
            <a:gd name="connsiteX32" fmla="*/ 0 w 4008124"/>
            <a:gd name="connsiteY32" fmla="*/ 1040607 h 1726407"/>
            <a:gd name="connsiteX33" fmla="*/ 17699 w 4008124"/>
            <a:gd name="connsiteY33" fmla="*/ 0 h 1726407"/>
            <a:gd name="connsiteX0" fmla="*/ 17699 w 4008124"/>
            <a:gd name="connsiteY0" fmla="*/ 0 h 1726407"/>
            <a:gd name="connsiteX1" fmla="*/ 3629845 w 4008124"/>
            <a:gd name="connsiteY1" fmla="*/ 26195 h 1726407"/>
            <a:gd name="connsiteX2" fmla="*/ 2629291 w 4008124"/>
            <a:gd name="connsiteY2" fmla="*/ 659608 h 1726407"/>
            <a:gd name="connsiteX3" fmla="*/ 1805150 w 4008124"/>
            <a:gd name="connsiteY3" fmla="*/ 526256 h 1726407"/>
            <a:gd name="connsiteX4" fmla="*/ 1719338 w 4008124"/>
            <a:gd name="connsiteY4" fmla="*/ 492919 h 1726407"/>
            <a:gd name="connsiteX5" fmla="*/ 1705348 w 4008124"/>
            <a:gd name="connsiteY5" fmla="*/ 552451 h 1726407"/>
            <a:gd name="connsiteX6" fmla="*/ 1807243 w 4008124"/>
            <a:gd name="connsiteY6" fmla="*/ 666752 h 1726407"/>
            <a:gd name="connsiteX7" fmla="*/ 1890251 w 4008124"/>
            <a:gd name="connsiteY7" fmla="*/ 721520 h 1726407"/>
            <a:gd name="connsiteX8" fmla="*/ 2018325 w 4008124"/>
            <a:gd name="connsiteY8" fmla="*/ 795340 h 1726407"/>
            <a:gd name="connsiteX9" fmla="*/ 2388310 w 4008124"/>
            <a:gd name="connsiteY9" fmla="*/ 959644 h 1726407"/>
            <a:gd name="connsiteX10" fmla="*/ 2575674 w 4008124"/>
            <a:gd name="connsiteY10" fmla="*/ 1023938 h 1726407"/>
            <a:gd name="connsiteX11" fmla="*/ 2656312 w 4008124"/>
            <a:gd name="connsiteY11" fmla="*/ 1045369 h 1726407"/>
            <a:gd name="connsiteX12" fmla="*/ 2739323 w 4008124"/>
            <a:gd name="connsiteY12" fmla="*/ 1071562 h 1726407"/>
            <a:gd name="connsiteX13" fmla="*/ 2869767 w 4008124"/>
            <a:gd name="connsiteY13" fmla="*/ 1081087 h 1726407"/>
            <a:gd name="connsiteX14" fmla="*/ 2983608 w 4008124"/>
            <a:gd name="connsiteY14" fmla="*/ 1100137 h 1726407"/>
            <a:gd name="connsiteX15" fmla="*/ 3782873 w 4008124"/>
            <a:gd name="connsiteY15" fmla="*/ 1245393 h 1726407"/>
            <a:gd name="connsiteX16" fmla="*/ 3403401 w 4008124"/>
            <a:gd name="connsiteY16" fmla="*/ 1176337 h 1726407"/>
            <a:gd name="connsiteX17" fmla="*/ 3780502 w 4008124"/>
            <a:gd name="connsiteY17" fmla="*/ 1240631 h 1726407"/>
            <a:gd name="connsiteX18" fmla="*/ 4003445 w 4008124"/>
            <a:gd name="connsiteY18" fmla="*/ 1319214 h 1726407"/>
            <a:gd name="connsiteX19" fmla="*/ 4005720 w 4008124"/>
            <a:gd name="connsiteY19" fmla="*/ 1726407 h 1726407"/>
            <a:gd name="connsiteX20" fmla="*/ 1683573 w 4008124"/>
            <a:gd name="connsiteY20" fmla="*/ 1345407 h 1726407"/>
            <a:gd name="connsiteX21" fmla="*/ 1559623 w 4008124"/>
            <a:gd name="connsiteY21" fmla="*/ 1314451 h 1726407"/>
            <a:gd name="connsiteX22" fmla="*/ 1518781 w 4008124"/>
            <a:gd name="connsiteY22" fmla="*/ 1333500 h 1726407"/>
            <a:gd name="connsiteX23" fmla="*/ 1374010 w 4008124"/>
            <a:gd name="connsiteY23" fmla="*/ 1264445 h 1726407"/>
            <a:gd name="connsiteX24" fmla="*/ 1200254 w 4008124"/>
            <a:gd name="connsiteY24" fmla="*/ 1216820 h 1726407"/>
            <a:gd name="connsiteX25" fmla="*/ 1036437 w 4008124"/>
            <a:gd name="connsiteY25" fmla="*/ 1178721 h 1726407"/>
            <a:gd name="connsiteX26" fmla="*/ 955799 w 4008124"/>
            <a:gd name="connsiteY26" fmla="*/ 1188245 h 1726407"/>
            <a:gd name="connsiteX27" fmla="*/ 850230 w 4008124"/>
            <a:gd name="connsiteY27" fmla="*/ 1169195 h 1726407"/>
            <a:gd name="connsiteX28" fmla="*/ 694909 w 4008124"/>
            <a:gd name="connsiteY28" fmla="*/ 1107282 h 1726407"/>
            <a:gd name="connsiteX29" fmla="*/ 528761 w 4008124"/>
            <a:gd name="connsiteY29" fmla="*/ 1012032 h 1726407"/>
            <a:gd name="connsiteX30" fmla="*/ 333374 w 4008124"/>
            <a:gd name="connsiteY30" fmla="*/ 1009651 h 1726407"/>
            <a:gd name="connsiteX31" fmla="*/ 173135 w 4008124"/>
            <a:gd name="connsiteY31" fmla="*/ 1064421 h 1726407"/>
            <a:gd name="connsiteX32" fmla="*/ 0 w 4008124"/>
            <a:gd name="connsiteY32" fmla="*/ 1040607 h 1726407"/>
            <a:gd name="connsiteX33" fmla="*/ 17699 w 4008124"/>
            <a:gd name="connsiteY33" fmla="*/ 0 h 1726407"/>
            <a:gd name="connsiteX0" fmla="*/ 0 w 4282146"/>
            <a:gd name="connsiteY0" fmla="*/ 0 h 1728788"/>
            <a:gd name="connsiteX1" fmla="*/ 3903867 w 4282146"/>
            <a:gd name="connsiteY1" fmla="*/ 28576 h 1728788"/>
            <a:gd name="connsiteX2" fmla="*/ 2903313 w 4282146"/>
            <a:gd name="connsiteY2" fmla="*/ 661989 h 1728788"/>
            <a:gd name="connsiteX3" fmla="*/ 2079172 w 4282146"/>
            <a:gd name="connsiteY3" fmla="*/ 528637 h 1728788"/>
            <a:gd name="connsiteX4" fmla="*/ 1993360 w 4282146"/>
            <a:gd name="connsiteY4" fmla="*/ 495300 h 1728788"/>
            <a:gd name="connsiteX5" fmla="*/ 1979370 w 4282146"/>
            <a:gd name="connsiteY5" fmla="*/ 554832 h 1728788"/>
            <a:gd name="connsiteX6" fmla="*/ 2081265 w 4282146"/>
            <a:gd name="connsiteY6" fmla="*/ 669133 h 1728788"/>
            <a:gd name="connsiteX7" fmla="*/ 2164273 w 4282146"/>
            <a:gd name="connsiteY7" fmla="*/ 723901 h 1728788"/>
            <a:gd name="connsiteX8" fmla="*/ 2292347 w 4282146"/>
            <a:gd name="connsiteY8" fmla="*/ 797721 h 1728788"/>
            <a:gd name="connsiteX9" fmla="*/ 2662332 w 4282146"/>
            <a:gd name="connsiteY9" fmla="*/ 962025 h 1728788"/>
            <a:gd name="connsiteX10" fmla="*/ 2849696 w 4282146"/>
            <a:gd name="connsiteY10" fmla="*/ 1026319 h 1728788"/>
            <a:gd name="connsiteX11" fmla="*/ 2930334 w 4282146"/>
            <a:gd name="connsiteY11" fmla="*/ 1047750 h 1728788"/>
            <a:gd name="connsiteX12" fmla="*/ 3013345 w 4282146"/>
            <a:gd name="connsiteY12" fmla="*/ 1073943 h 1728788"/>
            <a:gd name="connsiteX13" fmla="*/ 3143789 w 4282146"/>
            <a:gd name="connsiteY13" fmla="*/ 1083468 h 1728788"/>
            <a:gd name="connsiteX14" fmla="*/ 3257630 w 4282146"/>
            <a:gd name="connsiteY14" fmla="*/ 1102518 h 1728788"/>
            <a:gd name="connsiteX15" fmla="*/ 4056895 w 4282146"/>
            <a:gd name="connsiteY15" fmla="*/ 1247774 h 1728788"/>
            <a:gd name="connsiteX16" fmla="*/ 3677423 w 4282146"/>
            <a:gd name="connsiteY16" fmla="*/ 1178718 h 1728788"/>
            <a:gd name="connsiteX17" fmla="*/ 4054524 w 4282146"/>
            <a:gd name="connsiteY17" fmla="*/ 1243012 h 1728788"/>
            <a:gd name="connsiteX18" fmla="*/ 4277467 w 4282146"/>
            <a:gd name="connsiteY18" fmla="*/ 1321595 h 1728788"/>
            <a:gd name="connsiteX19" fmla="*/ 4279742 w 4282146"/>
            <a:gd name="connsiteY19" fmla="*/ 1728788 h 1728788"/>
            <a:gd name="connsiteX20" fmla="*/ 1957595 w 4282146"/>
            <a:gd name="connsiteY20" fmla="*/ 1347788 h 1728788"/>
            <a:gd name="connsiteX21" fmla="*/ 1833645 w 4282146"/>
            <a:gd name="connsiteY21" fmla="*/ 1316832 h 1728788"/>
            <a:gd name="connsiteX22" fmla="*/ 1792803 w 4282146"/>
            <a:gd name="connsiteY22" fmla="*/ 1335881 h 1728788"/>
            <a:gd name="connsiteX23" fmla="*/ 1648032 w 4282146"/>
            <a:gd name="connsiteY23" fmla="*/ 1266826 h 1728788"/>
            <a:gd name="connsiteX24" fmla="*/ 1474276 w 4282146"/>
            <a:gd name="connsiteY24" fmla="*/ 1219201 h 1728788"/>
            <a:gd name="connsiteX25" fmla="*/ 1310459 w 4282146"/>
            <a:gd name="connsiteY25" fmla="*/ 1181102 h 1728788"/>
            <a:gd name="connsiteX26" fmla="*/ 1229821 w 4282146"/>
            <a:gd name="connsiteY26" fmla="*/ 1190626 h 1728788"/>
            <a:gd name="connsiteX27" fmla="*/ 1124252 w 4282146"/>
            <a:gd name="connsiteY27" fmla="*/ 1171576 h 1728788"/>
            <a:gd name="connsiteX28" fmla="*/ 968931 w 4282146"/>
            <a:gd name="connsiteY28" fmla="*/ 1109663 h 1728788"/>
            <a:gd name="connsiteX29" fmla="*/ 802783 w 4282146"/>
            <a:gd name="connsiteY29" fmla="*/ 1014413 h 1728788"/>
            <a:gd name="connsiteX30" fmla="*/ 607396 w 4282146"/>
            <a:gd name="connsiteY30" fmla="*/ 1012032 h 1728788"/>
            <a:gd name="connsiteX31" fmla="*/ 447157 w 4282146"/>
            <a:gd name="connsiteY31" fmla="*/ 1066802 h 1728788"/>
            <a:gd name="connsiteX32" fmla="*/ 274022 w 4282146"/>
            <a:gd name="connsiteY32" fmla="*/ 1042988 h 1728788"/>
            <a:gd name="connsiteX33" fmla="*/ 0 w 4282146"/>
            <a:gd name="connsiteY33" fmla="*/ 0 h 1728788"/>
            <a:gd name="connsiteX0" fmla="*/ 67504 w 4349650"/>
            <a:gd name="connsiteY0" fmla="*/ 0 h 1728788"/>
            <a:gd name="connsiteX1" fmla="*/ 3971371 w 4349650"/>
            <a:gd name="connsiteY1" fmla="*/ 28576 h 1728788"/>
            <a:gd name="connsiteX2" fmla="*/ 2970817 w 4349650"/>
            <a:gd name="connsiteY2" fmla="*/ 661989 h 1728788"/>
            <a:gd name="connsiteX3" fmla="*/ 2146676 w 4349650"/>
            <a:gd name="connsiteY3" fmla="*/ 528637 h 1728788"/>
            <a:gd name="connsiteX4" fmla="*/ 2060864 w 4349650"/>
            <a:gd name="connsiteY4" fmla="*/ 495300 h 1728788"/>
            <a:gd name="connsiteX5" fmla="*/ 2046874 w 4349650"/>
            <a:gd name="connsiteY5" fmla="*/ 554832 h 1728788"/>
            <a:gd name="connsiteX6" fmla="*/ 2148769 w 4349650"/>
            <a:gd name="connsiteY6" fmla="*/ 669133 h 1728788"/>
            <a:gd name="connsiteX7" fmla="*/ 2231777 w 4349650"/>
            <a:gd name="connsiteY7" fmla="*/ 723901 h 1728788"/>
            <a:gd name="connsiteX8" fmla="*/ 2359851 w 4349650"/>
            <a:gd name="connsiteY8" fmla="*/ 797721 h 1728788"/>
            <a:gd name="connsiteX9" fmla="*/ 2729836 w 4349650"/>
            <a:gd name="connsiteY9" fmla="*/ 962025 h 1728788"/>
            <a:gd name="connsiteX10" fmla="*/ 2917200 w 4349650"/>
            <a:gd name="connsiteY10" fmla="*/ 1026319 h 1728788"/>
            <a:gd name="connsiteX11" fmla="*/ 2997838 w 4349650"/>
            <a:gd name="connsiteY11" fmla="*/ 1047750 h 1728788"/>
            <a:gd name="connsiteX12" fmla="*/ 3080849 w 4349650"/>
            <a:gd name="connsiteY12" fmla="*/ 1073943 h 1728788"/>
            <a:gd name="connsiteX13" fmla="*/ 3211293 w 4349650"/>
            <a:gd name="connsiteY13" fmla="*/ 1083468 h 1728788"/>
            <a:gd name="connsiteX14" fmla="*/ 3325134 w 4349650"/>
            <a:gd name="connsiteY14" fmla="*/ 1102518 h 1728788"/>
            <a:gd name="connsiteX15" fmla="*/ 4124399 w 4349650"/>
            <a:gd name="connsiteY15" fmla="*/ 1247774 h 1728788"/>
            <a:gd name="connsiteX16" fmla="*/ 3744927 w 4349650"/>
            <a:gd name="connsiteY16" fmla="*/ 1178718 h 1728788"/>
            <a:gd name="connsiteX17" fmla="*/ 4122028 w 4349650"/>
            <a:gd name="connsiteY17" fmla="*/ 1243012 h 1728788"/>
            <a:gd name="connsiteX18" fmla="*/ 4344971 w 4349650"/>
            <a:gd name="connsiteY18" fmla="*/ 1321595 h 1728788"/>
            <a:gd name="connsiteX19" fmla="*/ 4347246 w 4349650"/>
            <a:gd name="connsiteY19" fmla="*/ 1728788 h 1728788"/>
            <a:gd name="connsiteX20" fmla="*/ 2025099 w 4349650"/>
            <a:gd name="connsiteY20" fmla="*/ 1347788 h 1728788"/>
            <a:gd name="connsiteX21" fmla="*/ 1901149 w 4349650"/>
            <a:gd name="connsiteY21" fmla="*/ 1316832 h 1728788"/>
            <a:gd name="connsiteX22" fmla="*/ 1860307 w 4349650"/>
            <a:gd name="connsiteY22" fmla="*/ 1335881 h 1728788"/>
            <a:gd name="connsiteX23" fmla="*/ 1715536 w 4349650"/>
            <a:gd name="connsiteY23" fmla="*/ 1266826 h 1728788"/>
            <a:gd name="connsiteX24" fmla="*/ 1541780 w 4349650"/>
            <a:gd name="connsiteY24" fmla="*/ 1219201 h 1728788"/>
            <a:gd name="connsiteX25" fmla="*/ 1377963 w 4349650"/>
            <a:gd name="connsiteY25" fmla="*/ 1181102 h 1728788"/>
            <a:gd name="connsiteX26" fmla="*/ 1297325 w 4349650"/>
            <a:gd name="connsiteY26" fmla="*/ 1190626 h 1728788"/>
            <a:gd name="connsiteX27" fmla="*/ 1191756 w 4349650"/>
            <a:gd name="connsiteY27" fmla="*/ 1171576 h 1728788"/>
            <a:gd name="connsiteX28" fmla="*/ 1036435 w 4349650"/>
            <a:gd name="connsiteY28" fmla="*/ 1109663 h 1728788"/>
            <a:gd name="connsiteX29" fmla="*/ 870287 w 4349650"/>
            <a:gd name="connsiteY29" fmla="*/ 1014413 h 1728788"/>
            <a:gd name="connsiteX30" fmla="*/ 674900 w 4349650"/>
            <a:gd name="connsiteY30" fmla="*/ 1012032 h 1728788"/>
            <a:gd name="connsiteX31" fmla="*/ 514661 w 4349650"/>
            <a:gd name="connsiteY31" fmla="*/ 1066802 h 1728788"/>
            <a:gd name="connsiteX32" fmla="*/ 0 w 4349650"/>
            <a:gd name="connsiteY32" fmla="*/ 1154907 h 1728788"/>
            <a:gd name="connsiteX33" fmla="*/ 67504 w 4349650"/>
            <a:gd name="connsiteY33" fmla="*/ 0 h 1728788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1036435 w 4349650"/>
            <a:gd name="connsiteY28" fmla="*/ 1114426 h 1733551"/>
            <a:gd name="connsiteX29" fmla="*/ 870287 w 4349650"/>
            <a:gd name="connsiteY29" fmla="*/ 1019176 h 1733551"/>
            <a:gd name="connsiteX30" fmla="*/ 674900 w 4349650"/>
            <a:gd name="connsiteY30" fmla="*/ 1016795 h 1733551"/>
            <a:gd name="connsiteX31" fmla="*/ 514661 w 4349650"/>
            <a:gd name="connsiteY31" fmla="*/ 1071565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1036435 w 4349650"/>
            <a:gd name="connsiteY28" fmla="*/ 1114426 h 1733551"/>
            <a:gd name="connsiteX29" fmla="*/ 870287 w 4349650"/>
            <a:gd name="connsiteY29" fmla="*/ 1019176 h 1733551"/>
            <a:gd name="connsiteX30" fmla="*/ 674900 w 4349650"/>
            <a:gd name="connsiteY30" fmla="*/ 1016795 h 1733551"/>
            <a:gd name="connsiteX31" fmla="*/ 241915 w 4349650"/>
            <a:gd name="connsiteY31" fmla="*/ 1159671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1036435 w 4349650"/>
            <a:gd name="connsiteY28" fmla="*/ 1114426 h 1733551"/>
            <a:gd name="connsiteX29" fmla="*/ 870287 w 4349650"/>
            <a:gd name="connsiteY29" fmla="*/ 1019176 h 1733551"/>
            <a:gd name="connsiteX30" fmla="*/ 404525 w 4349650"/>
            <a:gd name="connsiteY30" fmla="*/ 1216820 h 1733551"/>
            <a:gd name="connsiteX31" fmla="*/ 241915 w 4349650"/>
            <a:gd name="connsiteY31" fmla="*/ 1159671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1036435 w 4349650"/>
            <a:gd name="connsiteY28" fmla="*/ 1114426 h 1733551"/>
            <a:gd name="connsiteX29" fmla="*/ 870287 w 4349650"/>
            <a:gd name="connsiteY29" fmla="*/ 1019176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1036435 w 4349650"/>
            <a:gd name="connsiteY28" fmla="*/ 111442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191756 w 4349650"/>
            <a:gd name="connsiteY27" fmla="*/ 1176339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297325 w 4349650"/>
            <a:gd name="connsiteY26" fmla="*/ 1195389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377963 w 4349650"/>
            <a:gd name="connsiteY25" fmla="*/ 1185865 h 1733551"/>
            <a:gd name="connsiteX26" fmla="*/ 1468087 w 4349650"/>
            <a:gd name="connsiteY26" fmla="*/ 1381126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541780 w 4349650"/>
            <a:gd name="connsiteY24" fmla="*/ 1223964 h 1733551"/>
            <a:gd name="connsiteX25" fmla="*/ 1622248 w 4349650"/>
            <a:gd name="connsiteY25" fmla="*/ 1431134 h 1733551"/>
            <a:gd name="connsiteX26" fmla="*/ 1468087 w 4349650"/>
            <a:gd name="connsiteY26" fmla="*/ 1381126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715536 w 4349650"/>
            <a:gd name="connsiteY23" fmla="*/ 1271589 h 1733551"/>
            <a:gd name="connsiteX24" fmla="*/ 1828758 w 4349650"/>
            <a:gd name="connsiteY24" fmla="*/ 1419227 h 1733551"/>
            <a:gd name="connsiteX25" fmla="*/ 1622248 w 4349650"/>
            <a:gd name="connsiteY25" fmla="*/ 1431134 h 1733551"/>
            <a:gd name="connsiteX26" fmla="*/ 1468087 w 4349650"/>
            <a:gd name="connsiteY26" fmla="*/ 1381126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860307 w 4349650"/>
            <a:gd name="connsiteY22" fmla="*/ 1340644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622248 w 4349650"/>
            <a:gd name="connsiteY25" fmla="*/ 1431134 h 1733551"/>
            <a:gd name="connsiteX26" fmla="*/ 1468087 w 4349650"/>
            <a:gd name="connsiteY26" fmla="*/ 1381126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974149 w 4349650"/>
            <a:gd name="connsiteY22" fmla="*/ 1390651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622248 w 4349650"/>
            <a:gd name="connsiteY25" fmla="*/ 1431134 h 1733551"/>
            <a:gd name="connsiteX26" fmla="*/ 1468087 w 4349650"/>
            <a:gd name="connsiteY26" fmla="*/ 1381126 h 1733551"/>
            <a:gd name="connsiteX27" fmla="*/ 1213101 w 4349650"/>
            <a:gd name="connsiteY27" fmla="*/ 1381127 h 1733551"/>
            <a:gd name="connsiteX28" fmla="*/ 763688 w 4349650"/>
            <a:gd name="connsiteY28" fmla="*/ 1285876 h 1733551"/>
            <a:gd name="connsiteX29" fmla="*/ 637859 w 4349650"/>
            <a:gd name="connsiteY29" fmla="*/ 1233489 h 1733551"/>
            <a:gd name="connsiteX30" fmla="*/ 404525 w 4349650"/>
            <a:gd name="connsiteY30" fmla="*/ 1216820 h 1733551"/>
            <a:gd name="connsiteX31" fmla="*/ 227685 w 4349650"/>
            <a:gd name="connsiteY31" fmla="*/ 1162052 h 1733551"/>
            <a:gd name="connsiteX32" fmla="*/ 0 w 4349650"/>
            <a:gd name="connsiteY32" fmla="*/ 1159670 h 1733551"/>
            <a:gd name="connsiteX33" fmla="*/ 15326 w 4349650"/>
            <a:gd name="connsiteY3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974149 w 4349650"/>
            <a:gd name="connsiteY22" fmla="*/ 1390651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745577 w 4349650"/>
            <a:gd name="connsiteY25" fmla="*/ 1421609 h 1733551"/>
            <a:gd name="connsiteX26" fmla="*/ 1622248 w 4349650"/>
            <a:gd name="connsiteY26" fmla="*/ 1431134 h 1733551"/>
            <a:gd name="connsiteX27" fmla="*/ 1468087 w 4349650"/>
            <a:gd name="connsiteY27" fmla="*/ 1381126 h 1733551"/>
            <a:gd name="connsiteX28" fmla="*/ 1213101 w 4349650"/>
            <a:gd name="connsiteY28" fmla="*/ 1381127 h 1733551"/>
            <a:gd name="connsiteX29" fmla="*/ 763688 w 4349650"/>
            <a:gd name="connsiteY29" fmla="*/ 1285876 h 1733551"/>
            <a:gd name="connsiteX30" fmla="*/ 637859 w 4349650"/>
            <a:gd name="connsiteY30" fmla="*/ 1233489 h 1733551"/>
            <a:gd name="connsiteX31" fmla="*/ 404525 w 4349650"/>
            <a:gd name="connsiteY31" fmla="*/ 1216820 h 1733551"/>
            <a:gd name="connsiteX32" fmla="*/ 227685 w 4349650"/>
            <a:gd name="connsiteY32" fmla="*/ 1162052 h 1733551"/>
            <a:gd name="connsiteX33" fmla="*/ 0 w 4349650"/>
            <a:gd name="connsiteY33" fmla="*/ 1159670 h 1733551"/>
            <a:gd name="connsiteX34" fmla="*/ 15326 w 4349650"/>
            <a:gd name="connsiteY3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1901149 w 4349650"/>
            <a:gd name="connsiteY21" fmla="*/ 1321595 h 1733551"/>
            <a:gd name="connsiteX22" fmla="*/ 1974149 w 4349650"/>
            <a:gd name="connsiteY22" fmla="*/ 1390651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797754 w 4349650"/>
            <a:gd name="connsiteY25" fmla="*/ 1454947 h 1733551"/>
            <a:gd name="connsiteX26" fmla="*/ 1622248 w 4349650"/>
            <a:gd name="connsiteY26" fmla="*/ 1431134 h 1733551"/>
            <a:gd name="connsiteX27" fmla="*/ 1468087 w 4349650"/>
            <a:gd name="connsiteY27" fmla="*/ 1381126 h 1733551"/>
            <a:gd name="connsiteX28" fmla="*/ 1213101 w 4349650"/>
            <a:gd name="connsiteY28" fmla="*/ 1381127 h 1733551"/>
            <a:gd name="connsiteX29" fmla="*/ 763688 w 4349650"/>
            <a:gd name="connsiteY29" fmla="*/ 1285876 h 1733551"/>
            <a:gd name="connsiteX30" fmla="*/ 637859 w 4349650"/>
            <a:gd name="connsiteY30" fmla="*/ 1233489 h 1733551"/>
            <a:gd name="connsiteX31" fmla="*/ 404525 w 4349650"/>
            <a:gd name="connsiteY31" fmla="*/ 1216820 h 1733551"/>
            <a:gd name="connsiteX32" fmla="*/ 227685 w 4349650"/>
            <a:gd name="connsiteY32" fmla="*/ 1162052 h 1733551"/>
            <a:gd name="connsiteX33" fmla="*/ 0 w 4349650"/>
            <a:gd name="connsiteY33" fmla="*/ 1159670 h 1733551"/>
            <a:gd name="connsiteX34" fmla="*/ 15326 w 4349650"/>
            <a:gd name="connsiteY3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2048194 w 4349650"/>
            <a:gd name="connsiteY21" fmla="*/ 1464470 h 1733551"/>
            <a:gd name="connsiteX22" fmla="*/ 1974149 w 4349650"/>
            <a:gd name="connsiteY22" fmla="*/ 1390651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797754 w 4349650"/>
            <a:gd name="connsiteY25" fmla="*/ 1454947 h 1733551"/>
            <a:gd name="connsiteX26" fmla="*/ 1622248 w 4349650"/>
            <a:gd name="connsiteY26" fmla="*/ 1431134 h 1733551"/>
            <a:gd name="connsiteX27" fmla="*/ 1468087 w 4349650"/>
            <a:gd name="connsiteY27" fmla="*/ 1381126 h 1733551"/>
            <a:gd name="connsiteX28" fmla="*/ 1213101 w 4349650"/>
            <a:gd name="connsiteY28" fmla="*/ 1381127 h 1733551"/>
            <a:gd name="connsiteX29" fmla="*/ 763688 w 4349650"/>
            <a:gd name="connsiteY29" fmla="*/ 1285876 h 1733551"/>
            <a:gd name="connsiteX30" fmla="*/ 637859 w 4349650"/>
            <a:gd name="connsiteY30" fmla="*/ 1233489 h 1733551"/>
            <a:gd name="connsiteX31" fmla="*/ 404525 w 4349650"/>
            <a:gd name="connsiteY31" fmla="*/ 1216820 h 1733551"/>
            <a:gd name="connsiteX32" fmla="*/ 227685 w 4349650"/>
            <a:gd name="connsiteY32" fmla="*/ 1162052 h 1733551"/>
            <a:gd name="connsiteX33" fmla="*/ 0 w 4349650"/>
            <a:gd name="connsiteY33" fmla="*/ 1159670 h 1733551"/>
            <a:gd name="connsiteX34" fmla="*/ 15326 w 4349650"/>
            <a:gd name="connsiteY3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025099 w 4349650"/>
            <a:gd name="connsiteY20" fmla="*/ 1352551 h 1733551"/>
            <a:gd name="connsiteX21" fmla="*/ 2048194 w 4349650"/>
            <a:gd name="connsiteY21" fmla="*/ 1464470 h 1733551"/>
            <a:gd name="connsiteX22" fmla="*/ 1962291 w 4349650"/>
            <a:gd name="connsiteY22" fmla="*/ 1395414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797754 w 4349650"/>
            <a:gd name="connsiteY25" fmla="*/ 1454947 h 1733551"/>
            <a:gd name="connsiteX26" fmla="*/ 1622248 w 4349650"/>
            <a:gd name="connsiteY26" fmla="*/ 1431134 h 1733551"/>
            <a:gd name="connsiteX27" fmla="*/ 1468087 w 4349650"/>
            <a:gd name="connsiteY27" fmla="*/ 1381126 h 1733551"/>
            <a:gd name="connsiteX28" fmla="*/ 1213101 w 4349650"/>
            <a:gd name="connsiteY28" fmla="*/ 1381127 h 1733551"/>
            <a:gd name="connsiteX29" fmla="*/ 763688 w 4349650"/>
            <a:gd name="connsiteY29" fmla="*/ 1285876 h 1733551"/>
            <a:gd name="connsiteX30" fmla="*/ 637859 w 4349650"/>
            <a:gd name="connsiteY30" fmla="*/ 1233489 h 1733551"/>
            <a:gd name="connsiteX31" fmla="*/ 404525 w 4349650"/>
            <a:gd name="connsiteY31" fmla="*/ 1216820 h 1733551"/>
            <a:gd name="connsiteX32" fmla="*/ 227685 w 4349650"/>
            <a:gd name="connsiteY32" fmla="*/ 1162052 h 1733551"/>
            <a:gd name="connsiteX33" fmla="*/ 0 w 4349650"/>
            <a:gd name="connsiteY33" fmla="*/ 1159670 h 1733551"/>
            <a:gd name="connsiteX34" fmla="*/ 15326 w 4349650"/>
            <a:gd name="connsiteY3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148427 w 4349650"/>
            <a:gd name="connsiteY20" fmla="*/ 1421607 h 1733551"/>
            <a:gd name="connsiteX21" fmla="*/ 2048194 w 4349650"/>
            <a:gd name="connsiteY21" fmla="*/ 1464470 h 1733551"/>
            <a:gd name="connsiteX22" fmla="*/ 1962291 w 4349650"/>
            <a:gd name="connsiteY22" fmla="*/ 1395414 h 1733551"/>
            <a:gd name="connsiteX23" fmla="*/ 1886299 w 4349650"/>
            <a:gd name="connsiteY23" fmla="*/ 1404939 h 1733551"/>
            <a:gd name="connsiteX24" fmla="*/ 1828758 w 4349650"/>
            <a:gd name="connsiteY24" fmla="*/ 1419227 h 1733551"/>
            <a:gd name="connsiteX25" fmla="*/ 1797754 w 4349650"/>
            <a:gd name="connsiteY25" fmla="*/ 1454947 h 1733551"/>
            <a:gd name="connsiteX26" fmla="*/ 1622248 w 4349650"/>
            <a:gd name="connsiteY26" fmla="*/ 1431134 h 1733551"/>
            <a:gd name="connsiteX27" fmla="*/ 1468087 w 4349650"/>
            <a:gd name="connsiteY27" fmla="*/ 1381126 h 1733551"/>
            <a:gd name="connsiteX28" fmla="*/ 1213101 w 4349650"/>
            <a:gd name="connsiteY28" fmla="*/ 1381127 h 1733551"/>
            <a:gd name="connsiteX29" fmla="*/ 763688 w 4349650"/>
            <a:gd name="connsiteY29" fmla="*/ 1285876 h 1733551"/>
            <a:gd name="connsiteX30" fmla="*/ 637859 w 4349650"/>
            <a:gd name="connsiteY30" fmla="*/ 1233489 h 1733551"/>
            <a:gd name="connsiteX31" fmla="*/ 404525 w 4349650"/>
            <a:gd name="connsiteY31" fmla="*/ 1216820 h 1733551"/>
            <a:gd name="connsiteX32" fmla="*/ 227685 w 4349650"/>
            <a:gd name="connsiteY32" fmla="*/ 1162052 h 1733551"/>
            <a:gd name="connsiteX33" fmla="*/ 0 w 4349650"/>
            <a:gd name="connsiteY33" fmla="*/ 1159670 h 1733551"/>
            <a:gd name="connsiteX34" fmla="*/ 15326 w 4349650"/>
            <a:gd name="connsiteY3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196202 w 4349650"/>
            <a:gd name="connsiteY20" fmla="*/ 1423990 h 1733551"/>
            <a:gd name="connsiteX21" fmla="*/ 2148427 w 4349650"/>
            <a:gd name="connsiteY21" fmla="*/ 1421607 h 1733551"/>
            <a:gd name="connsiteX22" fmla="*/ 2048194 w 4349650"/>
            <a:gd name="connsiteY22" fmla="*/ 1464470 h 1733551"/>
            <a:gd name="connsiteX23" fmla="*/ 1962291 w 4349650"/>
            <a:gd name="connsiteY23" fmla="*/ 1395414 h 1733551"/>
            <a:gd name="connsiteX24" fmla="*/ 1886299 w 4349650"/>
            <a:gd name="connsiteY24" fmla="*/ 1404939 h 1733551"/>
            <a:gd name="connsiteX25" fmla="*/ 1828758 w 4349650"/>
            <a:gd name="connsiteY25" fmla="*/ 1419227 h 1733551"/>
            <a:gd name="connsiteX26" fmla="*/ 1797754 w 4349650"/>
            <a:gd name="connsiteY26" fmla="*/ 1454947 h 1733551"/>
            <a:gd name="connsiteX27" fmla="*/ 1622248 w 4349650"/>
            <a:gd name="connsiteY27" fmla="*/ 1431134 h 1733551"/>
            <a:gd name="connsiteX28" fmla="*/ 1468087 w 4349650"/>
            <a:gd name="connsiteY28" fmla="*/ 1381126 h 1733551"/>
            <a:gd name="connsiteX29" fmla="*/ 1213101 w 4349650"/>
            <a:gd name="connsiteY29" fmla="*/ 1381127 h 1733551"/>
            <a:gd name="connsiteX30" fmla="*/ 763688 w 4349650"/>
            <a:gd name="connsiteY30" fmla="*/ 1285876 h 1733551"/>
            <a:gd name="connsiteX31" fmla="*/ 637859 w 4349650"/>
            <a:gd name="connsiteY31" fmla="*/ 1233489 h 1733551"/>
            <a:gd name="connsiteX32" fmla="*/ 404525 w 4349650"/>
            <a:gd name="connsiteY32" fmla="*/ 1216820 h 1733551"/>
            <a:gd name="connsiteX33" fmla="*/ 227685 w 4349650"/>
            <a:gd name="connsiteY33" fmla="*/ 1162052 h 1733551"/>
            <a:gd name="connsiteX34" fmla="*/ 0 w 4349650"/>
            <a:gd name="connsiteY34" fmla="*/ 1159670 h 1733551"/>
            <a:gd name="connsiteX35" fmla="*/ 15326 w 4349650"/>
            <a:gd name="connsiteY35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196202 w 4349650"/>
            <a:gd name="connsiteY20" fmla="*/ 1438277 h 1733551"/>
            <a:gd name="connsiteX21" fmla="*/ 2148427 w 4349650"/>
            <a:gd name="connsiteY21" fmla="*/ 1421607 h 1733551"/>
            <a:gd name="connsiteX22" fmla="*/ 2048194 w 4349650"/>
            <a:gd name="connsiteY22" fmla="*/ 1464470 h 1733551"/>
            <a:gd name="connsiteX23" fmla="*/ 1962291 w 4349650"/>
            <a:gd name="connsiteY23" fmla="*/ 1395414 h 1733551"/>
            <a:gd name="connsiteX24" fmla="*/ 1886299 w 4349650"/>
            <a:gd name="connsiteY24" fmla="*/ 1404939 h 1733551"/>
            <a:gd name="connsiteX25" fmla="*/ 1828758 w 4349650"/>
            <a:gd name="connsiteY25" fmla="*/ 1419227 h 1733551"/>
            <a:gd name="connsiteX26" fmla="*/ 1797754 w 4349650"/>
            <a:gd name="connsiteY26" fmla="*/ 1454947 h 1733551"/>
            <a:gd name="connsiteX27" fmla="*/ 1622248 w 4349650"/>
            <a:gd name="connsiteY27" fmla="*/ 1431134 h 1733551"/>
            <a:gd name="connsiteX28" fmla="*/ 1468087 w 4349650"/>
            <a:gd name="connsiteY28" fmla="*/ 1381126 h 1733551"/>
            <a:gd name="connsiteX29" fmla="*/ 1213101 w 4349650"/>
            <a:gd name="connsiteY29" fmla="*/ 1381127 h 1733551"/>
            <a:gd name="connsiteX30" fmla="*/ 763688 w 4349650"/>
            <a:gd name="connsiteY30" fmla="*/ 1285876 h 1733551"/>
            <a:gd name="connsiteX31" fmla="*/ 637859 w 4349650"/>
            <a:gd name="connsiteY31" fmla="*/ 1233489 h 1733551"/>
            <a:gd name="connsiteX32" fmla="*/ 404525 w 4349650"/>
            <a:gd name="connsiteY32" fmla="*/ 1216820 h 1733551"/>
            <a:gd name="connsiteX33" fmla="*/ 227685 w 4349650"/>
            <a:gd name="connsiteY33" fmla="*/ 1162052 h 1733551"/>
            <a:gd name="connsiteX34" fmla="*/ 0 w 4349650"/>
            <a:gd name="connsiteY34" fmla="*/ 1159670 h 1733551"/>
            <a:gd name="connsiteX35" fmla="*/ 15326 w 4349650"/>
            <a:gd name="connsiteY35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10044 w 4349650"/>
            <a:gd name="connsiteY20" fmla="*/ 1450184 h 1733551"/>
            <a:gd name="connsiteX21" fmla="*/ 2196202 w 4349650"/>
            <a:gd name="connsiteY21" fmla="*/ 1438277 h 1733551"/>
            <a:gd name="connsiteX22" fmla="*/ 2148427 w 4349650"/>
            <a:gd name="connsiteY22" fmla="*/ 1421607 h 1733551"/>
            <a:gd name="connsiteX23" fmla="*/ 2048194 w 4349650"/>
            <a:gd name="connsiteY23" fmla="*/ 1464470 h 1733551"/>
            <a:gd name="connsiteX24" fmla="*/ 1962291 w 4349650"/>
            <a:gd name="connsiteY24" fmla="*/ 1395414 h 1733551"/>
            <a:gd name="connsiteX25" fmla="*/ 1886299 w 4349650"/>
            <a:gd name="connsiteY25" fmla="*/ 1404939 h 1733551"/>
            <a:gd name="connsiteX26" fmla="*/ 1828758 w 4349650"/>
            <a:gd name="connsiteY26" fmla="*/ 1419227 h 1733551"/>
            <a:gd name="connsiteX27" fmla="*/ 1797754 w 4349650"/>
            <a:gd name="connsiteY27" fmla="*/ 1454947 h 1733551"/>
            <a:gd name="connsiteX28" fmla="*/ 1622248 w 4349650"/>
            <a:gd name="connsiteY28" fmla="*/ 1431134 h 1733551"/>
            <a:gd name="connsiteX29" fmla="*/ 1468087 w 4349650"/>
            <a:gd name="connsiteY29" fmla="*/ 1381126 h 1733551"/>
            <a:gd name="connsiteX30" fmla="*/ 1213101 w 4349650"/>
            <a:gd name="connsiteY30" fmla="*/ 1381127 h 1733551"/>
            <a:gd name="connsiteX31" fmla="*/ 763688 w 4349650"/>
            <a:gd name="connsiteY31" fmla="*/ 1285876 h 1733551"/>
            <a:gd name="connsiteX32" fmla="*/ 637859 w 4349650"/>
            <a:gd name="connsiteY32" fmla="*/ 1233489 h 1733551"/>
            <a:gd name="connsiteX33" fmla="*/ 404525 w 4349650"/>
            <a:gd name="connsiteY33" fmla="*/ 1216820 h 1733551"/>
            <a:gd name="connsiteX34" fmla="*/ 227685 w 4349650"/>
            <a:gd name="connsiteY34" fmla="*/ 1162052 h 1733551"/>
            <a:gd name="connsiteX35" fmla="*/ 0 w 4349650"/>
            <a:gd name="connsiteY35" fmla="*/ 1159670 h 1733551"/>
            <a:gd name="connsiteX36" fmla="*/ 15326 w 4349650"/>
            <a:gd name="connsiteY36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257867 w 4349650"/>
            <a:gd name="connsiteY20" fmla="*/ 1488284 h 1733551"/>
            <a:gd name="connsiteX21" fmla="*/ 2196202 w 4349650"/>
            <a:gd name="connsiteY21" fmla="*/ 1438277 h 1733551"/>
            <a:gd name="connsiteX22" fmla="*/ 2148427 w 4349650"/>
            <a:gd name="connsiteY22" fmla="*/ 1421607 h 1733551"/>
            <a:gd name="connsiteX23" fmla="*/ 2048194 w 4349650"/>
            <a:gd name="connsiteY23" fmla="*/ 1464470 h 1733551"/>
            <a:gd name="connsiteX24" fmla="*/ 1962291 w 4349650"/>
            <a:gd name="connsiteY24" fmla="*/ 1395414 h 1733551"/>
            <a:gd name="connsiteX25" fmla="*/ 1886299 w 4349650"/>
            <a:gd name="connsiteY25" fmla="*/ 1404939 h 1733551"/>
            <a:gd name="connsiteX26" fmla="*/ 1828758 w 4349650"/>
            <a:gd name="connsiteY26" fmla="*/ 1419227 h 1733551"/>
            <a:gd name="connsiteX27" fmla="*/ 1797754 w 4349650"/>
            <a:gd name="connsiteY27" fmla="*/ 1454947 h 1733551"/>
            <a:gd name="connsiteX28" fmla="*/ 1622248 w 4349650"/>
            <a:gd name="connsiteY28" fmla="*/ 1431134 h 1733551"/>
            <a:gd name="connsiteX29" fmla="*/ 1468087 w 4349650"/>
            <a:gd name="connsiteY29" fmla="*/ 1381126 h 1733551"/>
            <a:gd name="connsiteX30" fmla="*/ 1213101 w 4349650"/>
            <a:gd name="connsiteY30" fmla="*/ 1381127 h 1733551"/>
            <a:gd name="connsiteX31" fmla="*/ 763688 w 4349650"/>
            <a:gd name="connsiteY31" fmla="*/ 1285876 h 1733551"/>
            <a:gd name="connsiteX32" fmla="*/ 637859 w 4349650"/>
            <a:gd name="connsiteY32" fmla="*/ 1233489 h 1733551"/>
            <a:gd name="connsiteX33" fmla="*/ 404525 w 4349650"/>
            <a:gd name="connsiteY33" fmla="*/ 1216820 h 1733551"/>
            <a:gd name="connsiteX34" fmla="*/ 227685 w 4349650"/>
            <a:gd name="connsiteY34" fmla="*/ 1162052 h 1733551"/>
            <a:gd name="connsiteX35" fmla="*/ 0 w 4349650"/>
            <a:gd name="connsiteY35" fmla="*/ 1159670 h 1733551"/>
            <a:gd name="connsiteX36" fmla="*/ 15326 w 4349650"/>
            <a:gd name="connsiteY36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40876 w 4349650"/>
            <a:gd name="connsiteY20" fmla="*/ 1500190 h 1733551"/>
            <a:gd name="connsiteX21" fmla="*/ 2257867 w 4349650"/>
            <a:gd name="connsiteY21" fmla="*/ 1488284 h 1733551"/>
            <a:gd name="connsiteX22" fmla="*/ 2196202 w 4349650"/>
            <a:gd name="connsiteY22" fmla="*/ 1438277 h 1733551"/>
            <a:gd name="connsiteX23" fmla="*/ 2148427 w 4349650"/>
            <a:gd name="connsiteY23" fmla="*/ 1421607 h 1733551"/>
            <a:gd name="connsiteX24" fmla="*/ 2048194 w 4349650"/>
            <a:gd name="connsiteY24" fmla="*/ 1464470 h 1733551"/>
            <a:gd name="connsiteX25" fmla="*/ 1962291 w 4349650"/>
            <a:gd name="connsiteY25" fmla="*/ 1395414 h 1733551"/>
            <a:gd name="connsiteX26" fmla="*/ 1886299 w 4349650"/>
            <a:gd name="connsiteY26" fmla="*/ 1404939 h 1733551"/>
            <a:gd name="connsiteX27" fmla="*/ 1828758 w 4349650"/>
            <a:gd name="connsiteY27" fmla="*/ 1419227 h 1733551"/>
            <a:gd name="connsiteX28" fmla="*/ 1797754 w 4349650"/>
            <a:gd name="connsiteY28" fmla="*/ 1454947 h 1733551"/>
            <a:gd name="connsiteX29" fmla="*/ 1622248 w 4349650"/>
            <a:gd name="connsiteY29" fmla="*/ 1431134 h 1733551"/>
            <a:gd name="connsiteX30" fmla="*/ 1468087 w 4349650"/>
            <a:gd name="connsiteY30" fmla="*/ 1381126 h 1733551"/>
            <a:gd name="connsiteX31" fmla="*/ 1213101 w 4349650"/>
            <a:gd name="connsiteY31" fmla="*/ 1381127 h 1733551"/>
            <a:gd name="connsiteX32" fmla="*/ 763688 w 4349650"/>
            <a:gd name="connsiteY32" fmla="*/ 1285876 h 1733551"/>
            <a:gd name="connsiteX33" fmla="*/ 637859 w 4349650"/>
            <a:gd name="connsiteY33" fmla="*/ 1233489 h 1733551"/>
            <a:gd name="connsiteX34" fmla="*/ 404525 w 4349650"/>
            <a:gd name="connsiteY34" fmla="*/ 1216820 h 1733551"/>
            <a:gd name="connsiteX35" fmla="*/ 227685 w 4349650"/>
            <a:gd name="connsiteY35" fmla="*/ 1162052 h 1733551"/>
            <a:gd name="connsiteX36" fmla="*/ 0 w 4349650"/>
            <a:gd name="connsiteY36" fmla="*/ 1159670 h 1733551"/>
            <a:gd name="connsiteX37" fmla="*/ 15326 w 4349650"/>
            <a:gd name="connsiteY37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38504 w 4349650"/>
            <a:gd name="connsiteY20" fmla="*/ 1464471 h 1733551"/>
            <a:gd name="connsiteX21" fmla="*/ 2257867 w 4349650"/>
            <a:gd name="connsiteY21" fmla="*/ 1488284 h 1733551"/>
            <a:gd name="connsiteX22" fmla="*/ 2196202 w 4349650"/>
            <a:gd name="connsiteY22" fmla="*/ 1438277 h 1733551"/>
            <a:gd name="connsiteX23" fmla="*/ 2148427 w 4349650"/>
            <a:gd name="connsiteY23" fmla="*/ 1421607 h 1733551"/>
            <a:gd name="connsiteX24" fmla="*/ 2048194 w 4349650"/>
            <a:gd name="connsiteY24" fmla="*/ 1464470 h 1733551"/>
            <a:gd name="connsiteX25" fmla="*/ 1962291 w 4349650"/>
            <a:gd name="connsiteY25" fmla="*/ 1395414 h 1733551"/>
            <a:gd name="connsiteX26" fmla="*/ 1886299 w 4349650"/>
            <a:gd name="connsiteY26" fmla="*/ 1404939 h 1733551"/>
            <a:gd name="connsiteX27" fmla="*/ 1828758 w 4349650"/>
            <a:gd name="connsiteY27" fmla="*/ 1419227 h 1733551"/>
            <a:gd name="connsiteX28" fmla="*/ 1797754 w 4349650"/>
            <a:gd name="connsiteY28" fmla="*/ 1454947 h 1733551"/>
            <a:gd name="connsiteX29" fmla="*/ 1622248 w 4349650"/>
            <a:gd name="connsiteY29" fmla="*/ 1431134 h 1733551"/>
            <a:gd name="connsiteX30" fmla="*/ 1468087 w 4349650"/>
            <a:gd name="connsiteY30" fmla="*/ 1381126 h 1733551"/>
            <a:gd name="connsiteX31" fmla="*/ 1213101 w 4349650"/>
            <a:gd name="connsiteY31" fmla="*/ 1381127 h 1733551"/>
            <a:gd name="connsiteX32" fmla="*/ 763688 w 4349650"/>
            <a:gd name="connsiteY32" fmla="*/ 1285876 h 1733551"/>
            <a:gd name="connsiteX33" fmla="*/ 637859 w 4349650"/>
            <a:gd name="connsiteY33" fmla="*/ 1233489 h 1733551"/>
            <a:gd name="connsiteX34" fmla="*/ 404525 w 4349650"/>
            <a:gd name="connsiteY34" fmla="*/ 1216820 h 1733551"/>
            <a:gd name="connsiteX35" fmla="*/ 227685 w 4349650"/>
            <a:gd name="connsiteY35" fmla="*/ 1162052 h 1733551"/>
            <a:gd name="connsiteX36" fmla="*/ 0 w 4349650"/>
            <a:gd name="connsiteY36" fmla="*/ 1159670 h 1733551"/>
            <a:gd name="connsiteX37" fmla="*/ 15326 w 4349650"/>
            <a:gd name="connsiteY37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38504 w 4349650"/>
            <a:gd name="connsiteY20" fmla="*/ 1464471 h 1733551"/>
            <a:gd name="connsiteX21" fmla="*/ 2257866 w 4349650"/>
            <a:gd name="connsiteY21" fmla="*/ 1495428 h 1733551"/>
            <a:gd name="connsiteX22" fmla="*/ 2196202 w 4349650"/>
            <a:gd name="connsiteY22" fmla="*/ 1438277 h 1733551"/>
            <a:gd name="connsiteX23" fmla="*/ 2148427 w 4349650"/>
            <a:gd name="connsiteY23" fmla="*/ 1421607 h 1733551"/>
            <a:gd name="connsiteX24" fmla="*/ 2048194 w 4349650"/>
            <a:gd name="connsiteY24" fmla="*/ 1464470 h 1733551"/>
            <a:gd name="connsiteX25" fmla="*/ 1962291 w 4349650"/>
            <a:gd name="connsiteY25" fmla="*/ 1395414 h 1733551"/>
            <a:gd name="connsiteX26" fmla="*/ 1886299 w 4349650"/>
            <a:gd name="connsiteY26" fmla="*/ 1404939 h 1733551"/>
            <a:gd name="connsiteX27" fmla="*/ 1828758 w 4349650"/>
            <a:gd name="connsiteY27" fmla="*/ 1419227 h 1733551"/>
            <a:gd name="connsiteX28" fmla="*/ 1797754 w 4349650"/>
            <a:gd name="connsiteY28" fmla="*/ 1454947 h 1733551"/>
            <a:gd name="connsiteX29" fmla="*/ 1622248 w 4349650"/>
            <a:gd name="connsiteY29" fmla="*/ 1431134 h 1733551"/>
            <a:gd name="connsiteX30" fmla="*/ 1468087 w 4349650"/>
            <a:gd name="connsiteY30" fmla="*/ 1381126 h 1733551"/>
            <a:gd name="connsiteX31" fmla="*/ 1213101 w 4349650"/>
            <a:gd name="connsiteY31" fmla="*/ 1381127 h 1733551"/>
            <a:gd name="connsiteX32" fmla="*/ 763688 w 4349650"/>
            <a:gd name="connsiteY32" fmla="*/ 1285876 h 1733551"/>
            <a:gd name="connsiteX33" fmla="*/ 637859 w 4349650"/>
            <a:gd name="connsiteY33" fmla="*/ 1233489 h 1733551"/>
            <a:gd name="connsiteX34" fmla="*/ 404525 w 4349650"/>
            <a:gd name="connsiteY34" fmla="*/ 1216820 h 1733551"/>
            <a:gd name="connsiteX35" fmla="*/ 227685 w 4349650"/>
            <a:gd name="connsiteY35" fmla="*/ 1162052 h 1733551"/>
            <a:gd name="connsiteX36" fmla="*/ 0 w 4349650"/>
            <a:gd name="connsiteY36" fmla="*/ 1159670 h 1733551"/>
            <a:gd name="connsiteX37" fmla="*/ 15326 w 4349650"/>
            <a:gd name="connsiteY37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78823 w 4349650"/>
            <a:gd name="connsiteY20" fmla="*/ 1466852 h 1733551"/>
            <a:gd name="connsiteX21" fmla="*/ 2338504 w 4349650"/>
            <a:gd name="connsiteY21" fmla="*/ 1464471 h 1733551"/>
            <a:gd name="connsiteX22" fmla="*/ 2257866 w 4349650"/>
            <a:gd name="connsiteY22" fmla="*/ 1495428 h 1733551"/>
            <a:gd name="connsiteX23" fmla="*/ 2196202 w 4349650"/>
            <a:gd name="connsiteY23" fmla="*/ 1438277 h 1733551"/>
            <a:gd name="connsiteX24" fmla="*/ 2148427 w 4349650"/>
            <a:gd name="connsiteY24" fmla="*/ 1421607 h 1733551"/>
            <a:gd name="connsiteX25" fmla="*/ 2048194 w 4349650"/>
            <a:gd name="connsiteY25" fmla="*/ 1464470 h 1733551"/>
            <a:gd name="connsiteX26" fmla="*/ 1962291 w 4349650"/>
            <a:gd name="connsiteY26" fmla="*/ 1395414 h 1733551"/>
            <a:gd name="connsiteX27" fmla="*/ 1886299 w 4349650"/>
            <a:gd name="connsiteY27" fmla="*/ 1404939 h 1733551"/>
            <a:gd name="connsiteX28" fmla="*/ 1828758 w 4349650"/>
            <a:gd name="connsiteY28" fmla="*/ 1419227 h 1733551"/>
            <a:gd name="connsiteX29" fmla="*/ 1797754 w 4349650"/>
            <a:gd name="connsiteY29" fmla="*/ 1454947 h 1733551"/>
            <a:gd name="connsiteX30" fmla="*/ 1622248 w 4349650"/>
            <a:gd name="connsiteY30" fmla="*/ 1431134 h 1733551"/>
            <a:gd name="connsiteX31" fmla="*/ 1468087 w 4349650"/>
            <a:gd name="connsiteY31" fmla="*/ 1381126 h 1733551"/>
            <a:gd name="connsiteX32" fmla="*/ 1213101 w 4349650"/>
            <a:gd name="connsiteY32" fmla="*/ 1381127 h 1733551"/>
            <a:gd name="connsiteX33" fmla="*/ 763688 w 4349650"/>
            <a:gd name="connsiteY33" fmla="*/ 1285876 h 1733551"/>
            <a:gd name="connsiteX34" fmla="*/ 637859 w 4349650"/>
            <a:gd name="connsiteY34" fmla="*/ 1233489 h 1733551"/>
            <a:gd name="connsiteX35" fmla="*/ 404525 w 4349650"/>
            <a:gd name="connsiteY35" fmla="*/ 1216820 h 1733551"/>
            <a:gd name="connsiteX36" fmla="*/ 227685 w 4349650"/>
            <a:gd name="connsiteY36" fmla="*/ 1162052 h 1733551"/>
            <a:gd name="connsiteX37" fmla="*/ 0 w 4349650"/>
            <a:gd name="connsiteY37" fmla="*/ 1159670 h 1733551"/>
            <a:gd name="connsiteX38" fmla="*/ 15326 w 4349650"/>
            <a:gd name="connsiteY38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388310 w 4349650"/>
            <a:gd name="connsiteY20" fmla="*/ 1481140 h 1733551"/>
            <a:gd name="connsiteX21" fmla="*/ 2338504 w 4349650"/>
            <a:gd name="connsiteY21" fmla="*/ 1464471 h 1733551"/>
            <a:gd name="connsiteX22" fmla="*/ 2257866 w 4349650"/>
            <a:gd name="connsiteY22" fmla="*/ 1495428 h 1733551"/>
            <a:gd name="connsiteX23" fmla="*/ 2196202 w 4349650"/>
            <a:gd name="connsiteY23" fmla="*/ 1438277 h 1733551"/>
            <a:gd name="connsiteX24" fmla="*/ 2148427 w 4349650"/>
            <a:gd name="connsiteY24" fmla="*/ 1421607 h 1733551"/>
            <a:gd name="connsiteX25" fmla="*/ 2048194 w 4349650"/>
            <a:gd name="connsiteY25" fmla="*/ 1464470 h 1733551"/>
            <a:gd name="connsiteX26" fmla="*/ 1962291 w 4349650"/>
            <a:gd name="connsiteY26" fmla="*/ 1395414 h 1733551"/>
            <a:gd name="connsiteX27" fmla="*/ 1886299 w 4349650"/>
            <a:gd name="connsiteY27" fmla="*/ 1404939 h 1733551"/>
            <a:gd name="connsiteX28" fmla="*/ 1828758 w 4349650"/>
            <a:gd name="connsiteY28" fmla="*/ 1419227 h 1733551"/>
            <a:gd name="connsiteX29" fmla="*/ 1797754 w 4349650"/>
            <a:gd name="connsiteY29" fmla="*/ 1454947 h 1733551"/>
            <a:gd name="connsiteX30" fmla="*/ 1622248 w 4349650"/>
            <a:gd name="connsiteY30" fmla="*/ 1431134 h 1733551"/>
            <a:gd name="connsiteX31" fmla="*/ 1468087 w 4349650"/>
            <a:gd name="connsiteY31" fmla="*/ 1381126 h 1733551"/>
            <a:gd name="connsiteX32" fmla="*/ 1213101 w 4349650"/>
            <a:gd name="connsiteY32" fmla="*/ 1381127 h 1733551"/>
            <a:gd name="connsiteX33" fmla="*/ 763688 w 4349650"/>
            <a:gd name="connsiteY33" fmla="*/ 1285876 h 1733551"/>
            <a:gd name="connsiteX34" fmla="*/ 637859 w 4349650"/>
            <a:gd name="connsiteY34" fmla="*/ 1233489 h 1733551"/>
            <a:gd name="connsiteX35" fmla="*/ 404525 w 4349650"/>
            <a:gd name="connsiteY35" fmla="*/ 1216820 h 1733551"/>
            <a:gd name="connsiteX36" fmla="*/ 227685 w 4349650"/>
            <a:gd name="connsiteY36" fmla="*/ 1162052 h 1733551"/>
            <a:gd name="connsiteX37" fmla="*/ 0 w 4349650"/>
            <a:gd name="connsiteY37" fmla="*/ 1159670 h 1733551"/>
            <a:gd name="connsiteX38" fmla="*/ 15326 w 4349650"/>
            <a:gd name="connsiteY38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440487 w 4349650"/>
            <a:gd name="connsiteY20" fmla="*/ 1490665 h 1733551"/>
            <a:gd name="connsiteX21" fmla="*/ 2388310 w 4349650"/>
            <a:gd name="connsiteY21" fmla="*/ 1481140 h 1733551"/>
            <a:gd name="connsiteX22" fmla="*/ 2338504 w 4349650"/>
            <a:gd name="connsiteY22" fmla="*/ 1464471 h 1733551"/>
            <a:gd name="connsiteX23" fmla="*/ 2257866 w 4349650"/>
            <a:gd name="connsiteY23" fmla="*/ 1495428 h 1733551"/>
            <a:gd name="connsiteX24" fmla="*/ 2196202 w 4349650"/>
            <a:gd name="connsiteY24" fmla="*/ 1438277 h 1733551"/>
            <a:gd name="connsiteX25" fmla="*/ 2148427 w 4349650"/>
            <a:gd name="connsiteY25" fmla="*/ 1421607 h 1733551"/>
            <a:gd name="connsiteX26" fmla="*/ 2048194 w 4349650"/>
            <a:gd name="connsiteY26" fmla="*/ 1464470 h 1733551"/>
            <a:gd name="connsiteX27" fmla="*/ 1962291 w 4349650"/>
            <a:gd name="connsiteY27" fmla="*/ 1395414 h 1733551"/>
            <a:gd name="connsiteX28" fmla="*/ 1886299 w 4349650"/>
            <a:gd name="connsiteY28" fmla="*/ 1404939 h 1733551"/>
            <a:gd name="connsiteX29" fmla="*/ 1828758 w 4349650"/>
            <a:gd name="connsiteY29" fmla="*/ 1419227 h 1733551"/>
            <a:gd name="connsiteX30" fmla="*/ 1797754 w 4349650"/>
            <a:gd name="connsiteY30" fmla="*/ 1454947 h 1733551"/>
            <a:gd name="connsiteX31" fmla="*/ 1622248 w 4349650"/>
            <a:gd name="connsiteY31" fmla="*/ 1431134 h 1733551"/>
            <a:gd name="connsiteX32" fmla="*/ 1468087 w 4349650"/>
            <a:gd name="connsiteY32" fmla="*/ 1381126 h 1733551"/>
            <a:gd name="connsiteX33" fmla="*/ 1213101 w 4349650"/>
            <a:gd name="connsiteY33" fmla="*/ 1381127 h 1733551"/>
            <a:gd name="connsiteX34" fmla="*/ 763688 w 4349650"/>
            <a:gd name="connsiteY34" fmla="*/ 1285876 h 1733551"/>
            <a:gd name="connsiteX35" fmla="*/ 637859 w 4349650"/>
            <a:gd name="connsiteY35" fmla="*/ 1233489 h 1733551"/>
            <a:gd name="connsiteX36" fmla="*/ 404525 w 4349650"/>
            <a:gd name="connsiteY36" fmla="*/ 1216820 h 1733551"/>
            <a:gd name="connsiteX37" fmla="*/ 227685 w 4349650"/>
            <a:gd name="connsiteY37" fmla="*/ 1162052 h 1733551"/>
            <a:gd name="connsiteX38" fmla="*/ 0 w 4349650"/>
            <a:gd name="connsiteY38" fmla="*/ 1159670 h 1733551"/>
            <a:gd name="connsiteX39" fmla="*/ 15326 w 4349650"/>
            <a:gd name="connsiteY39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449974 w 4349650"/>
            <a:gd name="connsiteY20" fmla="*/ 1524002 h 1733551"/>
            <a:gd name="connsiteX21" fmla="*/ 2388310 w 4349650"/>
            <a:gd name="connsiteY21" fmla="*/ 1481140 h 1733551"/>
            <a:gd name="connsiteX22" fmla="*/ 2338504 w 4349650"/>
            <a:gd name="connsiteY22" fmla="*/ 1464471 h 1733551"/>
            <a:gd name="connsiteX23" fmla="*/ 2257866 w 4349650"/>
            <a:gd name="connsiteY23" fmla="*/ 1495428 h 1733551"/>
            <a:gd name="connsiteX24" fmla="*/ 2196202 w 4349650"/>
            <a:gd name="connsiteY24" fmla="*/ 1438277 h 1733551"/>
            <a:gd name="connsiteX25" fmla="*/ 2148427 w 4349650"/>
            <a:gd name="connsiteY25" fmla="*/ 1421607 h 1733551"/>
            <a:gd name="connsiteX26" fmla="*/ 2048194 w 4349650"/>
            <a:gd name="connsiteY26" fmla="*/ 1464470 h 1733551"/>
            <a:gd name="connsiteX27" fmla="*/ 1962291 w 4349650"/>
            <a:gd name="connsiteY27" fmla="*/ 1395414 h 1733551"/>
            <a:gd name="connsiteX28" fmla="*/ 1886299 w 4349650"/>
            <a:gd name="connsiteY28" fmla="*/ 1404939 h 1733551"/>
            <a:gd name="connsiteX29" fmla="*/ 1828758 w 4349650"/>
            <a:gd name="connsiteY29" fmla="*/ 1419227 h 1733551"/>
            <a:gd name="connsiteX30" fmla="*/ 1797754 w 4349650"/>
            <a:gd name="connsiteY30" fmla="*/ 1454947 h 1733551"/>
            <a:gd name="connsiteX31" fmla="*/ 1622248 w 4349650"/>
            <a:gd name="connsiteY31" fmla="*/ 1431134 h 1733551"/>
            <a:gd name="connsiteX32" fmla="*/ 1468087 w 4349650"/>
            <a:gd name="connsiteY32" fmla="*/ 1381126 h 1733551"/>
            <a:gd name="connsiteX33" fmla="*/ 1213101 w 4349650"/>
            <a:gd name="connsiteY33" fmla="*/ 1381127 h 1733551"/>
            <a:gd name="connsiteX34" fmla="*/ 763688 w 4349650"/>
            <a:gd name="connsiteY34" fmla="*/ 1285876 h 1733551"/>
            <a:gd name="connsiteX35" fmla="*/ 637859 w 4349650"/>
            <a:gd name="connsiteY35" fmla="*/ 1233489 h 1733551"/>
            <a:gd name="connsiteX36" fmla="*/ 404525 w 4349650"/>
            <a:gd name="connsiteY36" fmla="*/ 1216820 h 1733551"/>
            <a:gd name="connsiteX37" fmla="*/ 227685 w 4349650"/>
            <a:gd name="connsiteY37" fmla="*/ 1162052 h 1733551"/>
            <a:gd name="connsiteX38" fmla="*/ 0 w 4349650"/>
            <a:gd name="connsiteY38" fmla="*/ 1159670 h 1733551"/>
            <a:gd name="connsiteX39" fmla="*/ 15326 w 4349650"/>
            <a:gd name="connsiteY39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449973 w 4349650"/>
            <a:gd name="connsiteY20" fmla="*/ 1535909 h 1733551"/>
            <a:gd name="connsiteX21" fmla="*/ 2388310 w 4349650"/>
            <a:gd name="connsiteY21" fmla="*/ 1481140 h 1733551"/>
            <a:gd name="connsiteX22" fmla="*/ 2338504 w 4349650"/>
            <a:gd name="connsiteY22" fmla="*/ 1464471 h 1733551"/>
            <a:gd name="connsiteX23" fmla="*/ 2257866 w 4349650"/>
            <a:gd name="connsiteY23" fmla="*/ 1495428 h 1733551"/>
            <a:gd name="connsiteX24" fmla="*/ 2196202 w 4349650"/>
            <a:gd name="connsiteY24" fmla="*/ 1438277 h 1733551"/>
            <a:gd name="connsiteX25" fmla="*/ 2148427 w 4349650"/>
            <a:gd name="connsiteY25" fmla="*/ 1421607 h 1733551"/>
            <a:gd name="connsiteX26" fmla="*/ 2048194 w 4349650"/>
            <a:gd name="connsiteY26" fmla="*/ 1464470 h 1733551"/>
            <a:gd name="connsiteX27" fmla="*/ 1962291 w 4349650"/>
            <a:gd name="connsiteY27" fmla="*/ 1395414 h 1733551"/>
            <a:gd name="connsiteX28" fmla="*/ 1886299 w 4349650"/>
            <a:gd name="connsiteY28" fmla="*/ 1404939 h 1733551"/>
            <a:gd name="connsiteX29" fmla="*/ 1828758 w 4349650"/>
            <a:gd name="connsiteY29" fmla="*/ 1419227 h 1733551"/>
            <a:gd name="connsiteX30" fmla="*/ 1797754 w 4349650"/>
            <a:gd name="connsiteY30" fmla="*/ 1454947 h 1733551"/>
            <a:gd name="connsiteX31" fmla="*/ 1622248 w 4349650"/>
            <a:gd name="connsiteY31" fmla="*/ 1431134 h 1733551"/>
            <a:gd name="connsiteX32" fmla="*/ 1468087 w 4349650"/>
            <a:gd name="connsiteY32" fmla="*/ 1381126 h 1733551"/>
            <a:gd name="connsiteX33" fmla="*/ 1213101 w 4349650"/>
            <a:gd name="connsiteY33" fmla="*/ 1381127 h 1733551"/>
            <a:gd name="connsiteX34" fmla="*/ 763688 w 4349650"/>
            <a:gd name="connsiteY34" fmla="*/ 1285876 h 1733551"/>
            <a:gd name="connsiteX35" fmla="*/ 637859 w 4349650"/>
            <a:gd name="connsiteY35" fmla="*/ 1233489 h 1733551"/>
            <a:gd name="connsiteX36" fmla="*/ 404525 w 4349650"/>
            <a:gd name="connsiteY36" fmla="*/ 1216820 h 1733551"/>
            <a:gd name="connsiteX37" fmla="*/ 227685 w 4349650"/>
            <a:gd name="connsiteY37" fmla="*/ 1162052 h 1733551"/>
            <a:gd name="connsiteX38" fmla="*/ 0 w 4349650"/>
            <a:gd name="connsiteY38" fmla="*/ 1159670 h 1733551"/>
            <a:gd name="connsiteX39" fmla="*/ 15326 w 4349650"/>
            <a:gd name="connsiteY39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473692 w 4349650"/>
            <a:gd name="connsiteY20" fmla="*/ 1540671 h 1733551"/>
            <a:gd name="connsiteX21" fmla="*/ 2449973 w 4349650"/>
            <a:gd name="connsiteY21" fmla="*/ 1535909 h 1733551"/>
            <a:gd name="connsiteX22" fmla="*/ 2388310 w 4349650"/>
            <a:gd name="connsiteY22" fmla="*/ 1481140 h 1733551"/>
            <a:gd name="connsiteX23" fmla="*/ 2338504 w 4349650"/>
            <a:gd name="connsiteY23" fmla="*/ 1464471 h 1733551"/>
            <a:gd name="connsiteX24" fmla="*/ 2257866 w 4349650"/>
            <a:gd name="connsiteY24" fmla="*/ 1495428 h 1733551"/>
            <a:gd name="connsiteX25" fmla="*/ 2196202 w 4349650"/>
            <a:gd name="connsiteY25" fmla="*/ 1438277 h 1733551"/>
            <a:gd name="connsiteX26" fmla="*/ 2148427 w 4349650"/>
            <a:gd name="connsiteY26" fmla="*/ 1421607 h 1733551"/>
            <a:gd name="connsiteX27" fmla="*/ 2048194 w 4349650"/>
            <a:gd name="connsiteY27" fmla="*/ 1464470 h 1733551"/>
            <a:gd name="connsiteX28" fmla="*/ 1962291 w 4349650"/>
            <a:gd name="connsiteY28" fmla="*/ 1395414 h 1733551"/>
            <a:gd name="connsiteX29" fmla="*/ 1886299 w 4349650"/>
            <a:gd name="connsiteY29" fmla="*/ 1404939 h 1733551"/>
            <a:gd name="connsiteX30" fmla="*/ 1828758 w 4349650"/>
            <a:gd name="connsiteY30" fmla="*/ 1419227 h 1733551"/>
            <a:gd name="connsiteX31" fmla="*/ 1797754 w 4349650"/>
            <a:gd name="connsiteY31" fmla="*/ 1454947 h 1733551"/>
            <a:gd name="connsiteX32" fmla="*/ 1622248 w 4349650"/>
            <a:gd name="connsiteY32" fmla="*/ 1431134 h 1733551"/>
            <a:gd name="connsiteX33" fmla="*/ 1468087 w 4349650"/>
            <a:gd name="connsiteY33" fmla="*/ 1381126 h 1733551"/>
            <a:gd name="connsiteX34" fmla="*/ 1213101 w 4349650"/>
            <a:gd name="connsiteY34" fmla="*/ 1381127 h 1733551"/>
            <a:gd name="connsiteX35" fmla="*/ 763688 w 4349650"/>
            <a:gd name="connsiteY35" fmla="*/ 1285876 h 1733551"/>
            <a:gd name="connsiteX36" fmla="*/ 637859 w 4349650"/>
            <a:gd name="connsiteY36" fmla="*/ 1233489 h 1733551"/>
            <a:gd name="connsiteX37" fmla="*/ 404525 w 4349650"/>
            <a:gd name="connsiteY37" fmla="*/ 1216820 h 1733551"/>
            <a:gd name="connsiteX38" fmla="*/ 227685 w 4349650"/>
            <a:gd name="connsiteY38" fmla="*/ 1162052 h 1733551"/>
            <a:gd name="connsiteX39" fmla="*/ 0 w 4349650"/>
            <a:gd name="connsiteY39" fmla="*/ 1159670 h 1733551"/>
            <a:gd name="connsiteX40" fmla="*/ 15326 w 4349650"/>
            <a:gd name="connsiteY40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542471 w 4349650"/>
            <a:gd name="connsiteY20" fmla="*/ 1550196 h 1733551"/>
            <a:gd name="connsiteX21" fmla="*/ 2473692 w 4349650"/>
            <a:gd name="connsiteY21" fmla="*/ 1540671 h 1733551"/>
            <a:gd name="connsiteX22" fmla="*/ 2449973 w 4349650"/>
            <a:gd name="connsiteY22" fmla="*/ 1535909 h 1733551"/>
            <a:gd name="connsiteX23" fmla="*/ 2388310 w 4349650"/>
            <a:gd name="connsiteY23" fmla="*/ 1481140 h 1733551"/>
            <a:gd name="connsiteX24" fmla="*/ 2338504 w 4349650"/>
            <a:gd name="connsiteY24" fmla="*/ 1464471 h 1733551"/>
            <a:gd name="connsiteX25" fmla="*/ 2257866 w 4349650"/>
            <a:gd name="connsiteY25" fmla="*/ 1495428 h 1733551"/>
            <a:gd name="connsiteX26" fmla="*/ 2196202 w 4349650"/>
            <a:gd name="connsiteY26" fmla="*/ 1438277 h 1733551"/>
            <a:gd name="connsiteX27" fmla="*/ 2148427 w 4349650"/>
            <a:gd name="connsiteY27" fmla="*/ 1421607 h 1733551"/>
            <a:gd name="connsiteX28" fmla="*/ 2048194 w 4349650"/>
            <a:gd name="connsiteY28" fmla="*/ 1464470 h 1733551"/>
            <a:gd name="connsiteX29" fmla="*/ 1962291 w 4349650"/>
            <a:gd name="connsiteY29" fmla="*/ 1395414 h 1733551"/>
            <a:gd name="connsiteX30" fmla="*/ 1886299 w 4349650"/>
            <a:gd name="connsiteY30" fmla="*/ 1404939 h 1733551"/>
            <a:gd name="connsiteX31" fmla="*/ 1828758 w 4349650"/>
            <a:gd name="connsiteY31" fmla="*/ 1419227 h 1733551"/>
            <a:gd name="connsiteX32" fmla="*/ 1797754 w 4349650"/>
            <a:gd name="connsiteY32" fmla="*/ 1454947 h 1733551"/>
            <a:gd name="connsiteX33" fmla="*/ 1622248 w 4349650"/>
            <a:gd name="connsiteY33" fmla="*/ 1431134 h 1733551"/>
            <a:gd name="connsiteX34" fmla="*/ 1468087 w 4349650"/>
            <a:gd name="connsiteY34" fmla="*/ 1381126 h 1733551"/>
            <a:gd name="connsiteX35" fmla="*/ 1213101 w 4349650"/>
            <a:gd name="connsiteY35" fmla="*/ 1381127 h 1733551"/>
            <a:gd name="connsiteX36" fmla="*/ 763688 w 4349650"/>
            <a:gd name="connsiteY36" fmla="*/ 1285876 h 1733551"/>
            <a:gd name="connsiteX37" fmla="*/ 637859 w 4349650"/>
            <a:gd name="connsiteY37" fmla="*/ 1233489 h 1733551"/>
            <a:gd name="connsiteX38" fmla="*/ 404525 w 4349650"/>
            <a:gd name="connsiteY38" fmla="*/ 1216820 h 1733551"/>
            <a:gd name="connsiteX39" fmla="*/ 227685 w 4349650"/>
            <a:gd name="connsiteY39" fmla="*/ 1162052 h 1733551"/>
            <a:gd name="connsiteX40" fmla="*/ 0 w 4349650"/>
            <a:gd name="connsiteY40" fmla="*/ 1159670 h 1733551"/>
            <a:gd name="connsiteX41" fmla="*/ 15326 w 4349650"/>
            <a:gd name="connsiteY41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511639 w 4349650"/>
            <a:gd name="connsiteY20" fmla="*/ 1519240 h 1733551"/>
            <a:gd name="connsiteX21" fmla="*/ 2473692 w 4349650"/>
            <a:gd name="connsiteY21" fmla="*/ 1540671 h 1733551"/>
            <a:gd name="connsiteX22" fmla="*/ 2449973 w 4349650"/>
            <a:gd name="connsiteY22" fmla="*/ 1535909 h 1733551"/>
            <a:gd name="connsiteX23" fmla="*/ 2388310 w 4349650"/>
            <a:gd name="connsiteY23" fmla="*/ 1481140 h 1733551"/>
            <a:gd name="connsiteX24" fmla="*/ 2338504 w 4349650"/>
            <a:gd name="connsiteY24" fmla="*/ 1464471 h 1733551"/>
            <a:gd name="connsiteX25" fmla="*/ 2257866 w 4349650"/>
            <a:gd name="connsiteY25" fmla="*/ 1495428 h 1733551"/>
            <a:gd name="connsiteX26" fmla="*/ 2196202 w 4349650"/>
            <a:gd name="connsiteY26" fmla="*/ 1438277 h 1733551"/>
            <a:gd name="connsiteX27" fmla="*/ 2148427 w 4349650"/>
            <a:gd name="connsiteY27" fmla="*/ 1421607 h 1733551"/>
            <a:gd name="connsiteX28" fmla="*/ 2048194 w 4349650"/>
            <a:gd name="connsiteY28" fmla="*/ 1464470 h 1733551"/>
            <a:gd name="connsiteX29" fmla="*/ 1962291 w 4349650"/>
            <a:gd name="connsiteY29" fmla="*/ 1395414 h 1733551"/>
            <a:gd name="connsiteX30" fmla="*/ 1886299 w 4349650"/>
            <a:gd name="connsiteY30" fmla="*/ 1404939 h 1733551"/>
            <a:gd name="connsiteX31" fmla="*/ 1828758 w 4349650"/>
            <a:gd name="connsiteY31" fmla="*/ 1419227 h 1733551"/>
            <a:gd name="connsiteX32" fmla="*/ 1797754 w 4349650"/>
            <a:gd name="connsiteY32" fmla="*/ 1454947 h 1733551"/>
            <a:gd name="connsiteX33" fmla="*/ 1622248 w 4349650"/>
            <a:gd name="connsiteY33" fmla="*/ 1431134 h 1733551"/>
            <a:gd name="connsiteX34" fmla="*/ 1468087 w 4349650"/>
            <a:gd name="connsiteY34" fmla="*/ 1381126 h 1733551"/>
            <a:gd name="connsiteX35" fmla="*/ 1213101 w 4349650"/>
            <a:gd name="connsiteY35" fmla="*/ 1381127 h 1733551"/>
            <a:gd name="connsiteX36" fmla="*/ 763688 w 4349650"/>
            <a:gd name="connsiteY36" fmla="*/ 1285876 h 1733551"/>
            <a:gd name="connsiteX37" fmla="*/ 637859 w 4349650"/>
            <a:gd name="connsiteY37" fmla="*/ 1233489 h 1733551"/>
            <a:gd name="connsiteX38" fmla="*/ 404525 w 4349650"/>
            <a:gd name="connsiteY38" fmla="*/ 1216820 h 1733551"/>
            <a:gd name="connsiteX39" fmla="*/ 227685 w 4349650"/>
            <a:gd name="connsiteY39" fmla="*/ 1162052 h 1733551"/>
            <a:gd name="connsiteX40" fmla="*/ 0 w 4349650"/>
            <a:gd name="connsiteY40" fmla="*/ 1159670 h 1733551"/>
            <a:gd name="connsiteX41" fmla="*/ 15326 w 4349650"/>
            <a:gd name="connsiteY41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556702 w 4349650"/>
            <a:gd name="connsiteY20" fmla="*/ 1526384 h 1733551"/>
            <a:gd name="connsiteX21" fmla="*/ 2511639 w 4349650"/>
            <a:gd name="connsiteY21" fmla="*/ 1519240 h 1733551"/>
            <a:gd name="connsiteX22" fmla="*/ 2473692 w 4349650"/>
            <a:gd name="connsiteY22" fmla="*/ 1540671 h 1733551"/>
            <a:gd name="connsiteX23" fmla="*/ 2449973 w 4349650"/>
            <a:gd name="connsiteY23" fmla="*/ 1535909 h 1733551"/>
            <a:gd name="connsiteX24" fmla="*/ 2388310 w 4349650"/>
            <a:gd name="connsiteY24" fmla="*/ 1481140 h 1733551"/>
            <a:gd name="connsiteX25" fmla="*/ 2338504 w 4349650"/>
            <a:gd name="connsiteY25" fmla="*/ 1464471 h 1733551"/>
            <a:gd name="connsiteX26" fmla="*/ 2257866 w 4349650"/>
            <a:gd name="connsiteY26" fmla="*/ 1495428 h 1733551"/>
            <a:gd name="connsiteX27" fmla="*/ 2196202 w 4349650"/>
            <a:gd name="connsiteY27" fmla="*/ 1438277 h 1733551"/>
            <a:gd name="connsiteX28" fmla="*/ 2148427 w 4349650"/>
            <a:gd name="connsiteY28" fmla="*/ 1421607 h 1733551"/>
            <a:gd name="connsiteX29" fmla="*/ 2048194 w 4349650"/>
            <a:gd name="connsiteY29" fmla="*/ 1464470 h 1733551"/>
            <a:gd name="connsiteX30" fmla="*/ 1962291 w 4349650"/>
            <a:gd name="connsiteY30" fmla="*/ 1395414 h 1733551"/>
            <a:gd name="connsiteX31" fmla="*/ 1886299 w 4349650"/>
            <a:gd name="connsiteY31" fmla="*/ 1404939 h 1733551"/>
            <a:gd name="connsiteX32" fmla="*/ 1828758 w 4349650"/>
            <a:gd name="connsiteY32" fmla="*/ 1419227 h 1733551"/>
            <a:gd name="connsiteX33" fmla="*/ 1797754 w 4349650"/>
            <a:gd name="connsiteY33" fmla="*/ 1454947 h 1733551"/>
            <a:gd name="connsiteX34" fmla="*/ 1622248 w 4349650"/>
            <a:gd name="connsiteY34" fmla="*/ 1431134 h 1733551"/>
            <a:gd name="connsiteX35" fmla="*/ 1468087 w 4349650"/>
            <a:gd name="connsiteY35" fmla="*/ 1381126 h 1733551"/>
            <a:gd name="connsiteX36" fmla="*/ 1213101 w 4349650"/>
            <a:gd name="connsiteY36" fmla="*/ 1381127 h 1733551"/>
            <a:gd name="connsiteX37" fmla="*/ 763688 w 4349650"/>
            <a:gd name="connsiteY37" fmla="*/ 1285876 h 1733551"/>
            <a:gd name="connsiteX38" fmla="*/ 637859 w 4349650"/>
            <a:gd name="connsiteY38" fmla="*/ 1233489 h 1733551"/>
            <a:gd name="connsiteX39" fmla="*/ 404525 w 4349650"/>
            <a:gd name="connsiteY39" fmla="*/ 1216820 h 1733551"/>
            <a:gd name="connsiteX40" fmla="*/ 227685 w 4349650"/>
            <a:gd name="connsiteY40" fmla="*/ 1162052 h 1733551"/>
            <a:gd name="connsiteX41" fmla="*/ 0 w 4349650"/>
            <a:gd name="connsiteY41" fmla="*/ 1159670 h 1733551"/>
            <a:gd name="connsiteX42" fmla="*/ 15326 w 4349650"/>
            <a:gd name="connsiteY42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710862 w 4349650"/>
            <a:gd name="connsiteY20" fmla="*/ 1538290 h 1733551"/>
            <a:gd name="connsiteX21" fmla="*/ 2556702 w 4349650"/>
            <a:gd name="connsiteY21" fmla="*/ 1526384 h 1733551"/>
            <a:gd name="connsiteX22" fmla="*/ 2511639 w 4349650"/>
            <a:gd name="connsiteY22" fmla="*/ 1519240 h 1733551"/>
            <a:gd name="connsiteX23" fmla="*/ 2473692 w 4349650"/>
            <a:gd name="connsiteY23" fmla="*/ 1540671 h 1733551"/>
            <a:gd name="connsiteX24" fmla="*/ 2449973 w 4349650"/>
            <a:gd name="connsiteY24" fmla="*/ 1535909 h 1733551"/>
            <a:gd name="connsiteX25" fmla="*/ 2388310 w 4349650"/>
            <a:gd name="connsiteY25" fmla="*/ 1481140 h 1733551"/>
            <a:gd name="connsiteX26" fmla="*/ 2338504 w 4349650"/>
            <a:gd name="connsiteY26" fmla="*/ 1464471 h 1733551"/>
            <a:gd name="connsiteX27" fmla="*/ 2257866 w 4349650"/>
            <a:gd name="connsiteY27" fmla="*/ 1495428 h 1733551"/>
            <a:gd name="connsiteX28" fmla="*/ 2196202 w 4349650"/>
            <a:gd name="connsiteY28" fmla="*/ 1438277 h 1733551"/>
            <a:gd name="connsiteX29" fmla="*/ 2148427 w 4349650"/>
            <a:gd name="connsiteY29" fmla="*/ 1421607 h 1733551"/>
            <a:gd name="connsiteX30" fmla="*/ 2048194 w 4349650"/>
            <a:gd name="connsiteY30" fmla="*/ 1464470 h 1733551"/>
            <a:gd name="connsiteX31" fmla="*/ 1962291 w 4349650"/>
            <a:gd name="connsiteY31" fmla="*/ 1395414 h 1733551"/>
            <a:gd name="connsiteX32" fmla="*/ 1886299 w 4349650"/>
            <a:gd name="connsiteY32" fmla="*/ 1404939 h 1733551"/>
            <a:gd name="connsiteX33" fmla="*/ 1828758 w 4349650"/>
            <a:gd name="connsiteY33" fmla="*/ 1419227 h 1733551"/>
            <a:gd name="connsiteX34" fmla="*/ 1797754 w 4349650"/>
            <a:gd name="connsiteY34" fmla="*/ 1454947 h 1733551"/>
            <a:gd name="connsiteX35" fmla="*/ 1622248 w 4349650"/>
            <a:gd name="connsiteY35" fmla="*/ 1431134 h 1733551"/>
            <a:gd name="connsiteX36" fmla="*/ 1468087 w 4349650"/>
            <a:gd name="connsiteY36" fmla="*/ 1381126 h 1733551"/>
            <a:gd name="connsiteX37" fmla="*/ 1213101 w 4349650"/>
            <a:gd name="connsiteY37" fmla="*/ 1381127 h 1733551"/>
            <a:gd name="connsiteX38" fmla="*/ 763688 w 4349650"/>
            <a:gd name="connsiteY38" fmla="*/ 1285876 h 1733551"/>
            <a:gd name="connsiteX39" fmla="*/ 637859 w 4349650"/>
            <a:gd name="connsiteY39" fmla="*/ 1233489 h 1733551"/>
            <a:gd name="connsiteX40" fmla="*/ 404525 w 4349650"/>
            <a:gd name="connsiteY40" fmla="*/ 1216820 h 1733551"/>
            <a:gd name="connsiteX41" fmla="*/ 227685 w 4349650"/>
            <a:gd name="connsiteY41" fmla="*/ 1162052 h 1733551"/>
            <a:gd name="connsiteX42" fmla="*/ 0 w 4349650"/>
            <a:gd name="connsiteY42" fmla="*/ 1159670 h 1733551"/>
            <a:gd name="connsiteX43" fmla="*/ 15326 w 4349650"/>
            <a:gd name="connsiteY4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751181 w 4349650"/>
            <a:gd name="connsiteY20" fmla="*/ 1545434 h 1733551"/>
            <a:gd name="connsiteX21" fmla="*/ 2710862 w 4349650"/>
            <a:gd name="connsiteY21" fmla="*/ 1538290 h 1733551"/>
            <a:gd name="connsiteX22" fmla="*/ 2556702 w 4349650"/>
            <a:gd name="connsiteY22" fmla="*/ 1526384 h 1733551"/>
            <a:gd name="connsiteX23" fmla="*/ 2511639 w 4349650"/>
            <a:gd name="connsiteY23" fmla="*/ 1519240 h 1733551"/>
            <a:gd name="connsiteX24" fmla="*/ 2473692 w 4349650"/>
            <a:gd name="connsiteY24" fmla="*/ 1540671 h 1733551"/>
            <a:gd name="connsiteX25" fmla="*/ 2449973 w 4349650"/>
            <a:gd name="connsiteY25" fmla="*/ 1535909 h 1733551"/>
            <a:gd name="connsiteX26" fmla="*/ 2388310 w 4349650"/>
            <a:gd name="connsiteY26" fmla="*/ 1481140 h 1733551"/>
            <a:gd name="connsiteX27" fmla="*/ 2338504 w 4349650"/>
            <a:gd name="connsiteY27" fmla="*/ 1464471 h 1733551"/>
            <a:gd name="connsiteX28" fmla="*/ 2257866 w 4349650"/>
            <a:gd name="connsiteY28" fmla="*/ 1495428 h 1733551"/>
            <a:gd name="connsiteX29" fmla="*/ 2196202 w 4349650"/>
            <a:gd name="connsiteY29" fmla="*/ 1438277 h 1733551"/>
            <a:gd name="connsiteX30" fmla="*/ 2148427 w 4349650"/>
            <a:gd name="connsiteY30" fmla="*/ 1421607 h 1733551"/>
            <a:gd name="connsiteX31" fmla="*/ 2048194 w 4349650"/>
            <a:gd name="connsiteY31" fmla="*/ 1464470 h 1733551"/>
            <a:gd name="connsiteX32" fmla="*/ 1962291 w 4349650"/>
            <a:gd name="connsiteY32" fmla="*/ 1395414 h 1733551"/>
            <a:gd name="connsiteX33" fmla="*/ 1886299 w 4349650"/>
            <a:gd name="connsiteY33" fmla="*/ 1404939 h 1733551"/>
            <a:gd name="connsiteX34" fmla="*/ 1828758 w 4349650"/>
            <a:gd name="connsiteY34" fmla="*/ 1419227 h 1733551"/>
            <a:gd name="connsiteX35" fmla="*/ 1797754 w 4349650"/>
            <a:gd name="connsiteY35" fmla="*/ 1454947 h 1733551"/>
            <a:gd name="connsiteX36" fmla="*/ 1622248 w 4349650"/>
            <a:gd name="connsiteY36" fmla="*/ 1431134 h 1733551"/>
            <a:gd name="connsiteX37" fmla="*/ 1468087 w 4349650"/>
            <a:gd name="connsiteY37" fmla="*/ 1381126 h 1733551"/>
            <a:gd name="connsiteX38" fmla="*/ 1213101 w 4349650"/>
            <a:gd name="connsiteY38" fmla="*/ 1381127 h 1733551"/>
            <a:gd name="connsiteX39" fmla="*/ 763688 w 4349650"/>
            <a:gd name="connsiteY39" fmla="*/ 1285876 h 1733551"/>
            <a:gd name="connsiteX40" fmla="*/ 637859 w 4349650"/>
            <a:gd name="connsiteY40" fmla="*/ 1233489 h 1733551"/>
            <a:gd name="connsiteX41" fmla="*/ 404525 w 4349650"/>
            <a:gd name="connsiteY41" fmla="*/ 1216820 h 1733551"/>
            <a:gd name="connsiteX42" fmla="*/ 227685 w 4349650"/>
            <a:gd name="connsiteY42" fmla="*/ 1162052 h 1733551"/>
            <a:gd name="connsiteX43" fmla="*/ 0 w 4349650"/>
            <a:gd name="connsiteY43" fmla="*/ 1159670 h 1733551"/>
            <a:gd name="connsiteX44" fmla="*/ 15326 w 4349650"/>
            <a:gd name="connsiteY4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914829 w 4349650"/>
            <a:gd name="connsiteY20" fmla="*/ 1564484 h 1733551"/>
            <a:gd name="connsiteX21" fmla="*/ 2751181 w 4349650"/>
            <a:gd name="connsiteY21" fmla="*/ 1545434 h 1733551"/>
            <a:gd name="connsiteX22" fmla="*/ 2710862 w 4349650"/>
            <a:gd name="connsiteY22" fmla="*/ 1538290 h 1733551"/>
            <a:gd name="connsiteX23" fmla="*/ 2556702 w 4349650"/>
            <a:gd name="connsiteY23" fmla="*/ 1526384 h 1733551"/>
            <a:gd name="connsiteX24" fmla="*/ 2511639 w 4349650"/>
            <a:gd name="connsiteY24" fmla="*/ 1519240 h 1733551"/>
            <a:gd name="connsiteX25" fmla="*/ 2473692 w 4349650"/>
            <a:gd name="connsiteY25" fmla="*/ 1540671 h 1733551"/>
            <a:gd name="connsiteX26" fmla="*/ 2449973 w 4349650"/>
            <a:gd name="connsiteY26" fmla="*/ 1535909 h 1733551"/>
            <a:gd name="connsiteX27" fmla="*/ 2388310 w 4349650"/>
            <a:gd name="connsiteY27" fmla="*/ 1481140 h 1733551"/>
            <a:gd name="connsiteX28" fmla="*/ 2338504 w 4349650"/>
            <a:gd name="connsiteY28" fmla="*/ 1464471 h 1733551"/>
            <a:gd name="connsiteX29" fmla="*/ 2257866 w 4349650"/>
            <a:gd name="connsiteY29" fmla="*/ 1495428 h 1733551"/>
            <a:gd name="connsiteX30" fmla="*/ 2196202 w 4349650"/>
            <a:gd name="connsiteY30" fmla="*/ 1438277 h 1733551"/>
            <a:gd name="connsiteX31" fmla="*/ 2148427 w 4349650"/>
            <a:gd name="connsiteY31" fmla="*/ 1421607 h 1733551"/>
            <a:gd name="connsiteX32" fmla="*/ 2048194 w 4349650"/>
            <a:gd name="connsiteY32" fmla="*/ 1464470 h 1733551"/>
            <a:gd name="connsiteX33" fmla="*/ 1962291 w 4349650"/>
            <a:gd name="connsiteY33" fmla="*/ 1395414 h 1733551"/>
            <a:gd name="connsiteX34" fmla="*/ 1886299 w 4349650"/>
            <a:gd name="connsiteY34" fmla="*/ 1404939 h 1733551"/>
            <a:gd name="connsiteX35" fmla="*/ 1828758 w 4349650"/>
            <a:gd name="connsiteY35" fmla="*/ 1419227 h 1733551"/>
            <a:gd name="connsiteX36" fmla="*/ 1797754 w 4349650"/>
            <a:gd name="connsiteY36" fmla="*/ 1454947 h 1733551"/>
            <a:gd name="connsiteX37" fmla="*/ 1622248 w 4349650"/>
            <a:gd name="connsiteY37" fmla="*/ 1431134 h 1733551"/>
            <a:gd name="connsiteX38" fmla="*/ 1468087 w 4349650"/>
            <a:gd name="connsiteY38" fmla="*/ 1381126 h 1733551"/>
            <a:gd name="connsiteX39" fmla="*/ 1213101 w 4349650"/>
            <a:gd name="connsiteY39" fmla="*/ 1381127 h 1733551"/>
            <a:gd name="connsiteX40" fmla="*/ 763688 w 4349650"/>
            <a:gd name="connsiteY40" fmla="*/ 1285876 h 1733551"/>
            <a:gd name="connsiteX41" fmla="*/ 637859 w 4349650"/>
            <a:gd name="connsiteY41" fmla="*/ 1233489 h 1733551"/>
            <a:gd name="connsiteX42" fmla="*/ 404525 w 4349650"/>
            <a:gd name="connsiteY42" fmla="*/ 1216820 h 1733551"/>
            <a:gd name="connsiteX43" fmla="*/ 227685 w 4349650"/>
            <a:gd name="connsiteY43" fmla="*/ 1162052 h 1733551"/>
            <a:gd name="connsiteX44" fmla="*/ 0 w 4349650"/>
            <a:gd name="connsiteY44" fmla="*/ 1159670 h 1733551"/>
            <a:gd name="connsiteX45" fmla="*/ 15326 w 4349650"/>
            <a:gd name="connsiteY45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2964635 w 4349650"/>
            <a:gd name="connsiteY20" fmla="*/ 1566865 h 1733551"/>
            <a:gd name="connsiteX21" fmla="*/ 2914829 w 4349650"/>
            <a:gd name="connsiteY21" fmla="*/ 1564484 h 1733551"/>
            <a:gd name="connsiteX22" fmla="*/ 2751181 w 4349650"/>
            <a:gd name="connsiteY22" fmla="*/ 1545434 h 1733551"/>
            <a:gd name="connsiteX23" fmla="*/ 2710862 w 4349650"/>
            <a:gd name="connsiteY23" fmla="*/ 1538290 h 1733551"/>
            <a:gd name="connsiteX24" fmla="*/ 2556702 w 4349650"/>
            <a:gd name="connsiteY24" fmla="*/ 1526384 h 1733551"/>
            <a:gd name="connsiteX25" fmla="*/ 2511639 w 4349650"/>
            <a:gd name="connsiteY25" fmla="*/ 1519240 h 1733551"/>
            <a:gd name="connsiteX26" fmla="*/ 2473692 w 4349650"/>
            <a:gd name="connsiteY26" fmla="*/ 1540671 h 1733551"/>
            <a:gd name="connsiteX27" fmla="*/ 2449973 w 4349650"/>
            <a:gd name="connsiteY27" fmla="*/ 1535909 h 1733551"/>
            <a:gd name="connsiteX28" fmla="*/ 2388310 w 4349650"/>
            <a:gd name="connsiteY28" fmla="*/ 1481140 h 1733551"/>
            <a:gd name="connsiteX29" fmla="*/ 2338504 w 4349650"/>
            <a:gd name="connsiteY29" fmla="*/ 1464471 h 1733551"/>
            <a:gd name="connsiteX30" fmla="*/ 2257866 w 4349650"/>
            <a:gd name="connsiteY30" fmla="*/ 1495428 h 1733551"/>
            <a:gd name="connsiteX31" fmla="*/ 2196202 w 4349650"/>
            <a:gd name="connsiteY31" fmla="*/ 1438277 h 1733551"/>
            <a:gd name="connsiteX32" fmla="*/ 2148427 w 4349650"/>
            <a:gd name="connsiteY32" fmla="*/ 1421607 h 1733551"/>
            <a:gd name="connsiteX33" fmla="*/ 2048194 w 4349650"/>
            <a:gd name="connsiteY33" fmla="*/ 1464470 h 1733551"/>
            <a:gd name="connsiteX34" fmla="*/ 1962291 w 4349650"/>
            <a:gd name="connsiteY34" fmla="*/ 1395414 h 1733551"/>
            <a:gd name="connsiteX35" fmla="*/ 1886299 w 4349650"/>
            <a:gd name="connsiteY35" fmla="*/ 1404939 h 1733551"/>
            <a:gd name="connsiteX36" fmla="*/ 1828758 w 4349650"/>
            <a:gd name="connsiteY36" fmla="*/ 1419227 h 1733551"/>
            <a:gd name="connsiteX37" fmla="*/ 1797754 w 4349650"/>
            <a:gd name="connsiteY37" fmla="*/ 1454947 h 1733551"/>
            <a:gd name="connsiteX38" fmla="*/ 1622248 w 4349650"/>
            <a:gd name="connsiteY38" fmla="*/ 1431134 h 1733551"/>
            <a:gd name="connsiteX39" fmla="*/ 1468087 w 4349650"/>
            <a:gd name="connsiteY39" fmla="*/ 1381126 h 1733551"/>
            <a:gd name="connsiteX40" fmla="*/ 1213101 w 4349650"/>
            <a:gd name="connsiteY40" fmla="*/ 1381127 h 1733551"/>
            <a:gd name="connsiteX41" fmla="*/ 763688 w 4349650"/>
            <a:gd name="connsiteY41" fmla="*/ 1285876 h 1733551"/>
            <a:gd name="connsiteX42" fmla="*/ 637859 w 4349650"/>
            <a:gd name="connsiteY42" fmla="*/ 1233489 h 1733551"/>
            <a:gd name="connsiteX43" fmla="*/ 404525 w 4349650"/>
            <a:gd name="connsiteY43" fmla="*/ 1216820 h 1733551"/>
            <a:gd name="connsiteX44" fmla="*/ 227685 w 4349650"/>
            <a:gd name="connsiteY44" fmla="*/ 1162052 h 1733551"/>
            <a:gd name="connsiteX45" fmla="*/ 0 w 4349650"/>
            <a:gd name="connsiteY45" fmla="*/ 1159670 h 1733551"/>
            <a:gd name="connsiteX46" fmla="*/ 15326 w 4349650"/>
            <a:gd name="connsiteY46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125911 w 4349650"/>
            <a:gd name="connsiteY20" fmla="*/ 1588296 h 1733551"/>
            <a:gd name="connsiteX21" fmla="*/ 2964635 w 4349650"/>
            <a:gd name="connsiteY21" fmla="*/ 1566865 h 1733551"/>
            <a:gd name="connsiteX22" fmla="*/ 2914829 w 4349650"/>
            <a:gd name="connsiteY22" fmla="*/ 1564484 h 1733551"/>
            <a:gd name="connsiteX23" fmla="*/ 2751181 w 4349650"/>
            <a:gd name="connsiteY23" fmla="*/ 1545434 h 1733551"/>
            <a:gd name="connsiteX24" fmla="*/ 2710862 w 4349650"/>
            <a:gd name="connsiteY24" fmla="*/ 1538290 h 1733551"/>
            <a:gd name="connsiteX25" fmla="*/ 2556702 w 4349650"/>
            <a:gd name="connsiteY25" fmla="*/ 1526384 h 1733551"/>
            <a:gd name="connsiteX26" fmla="*/ 2511639 w 4349650"/>
            <a:gd name="connsiteY26" fmla="*/ 1519240 h 1733551"/>
            <a:gd name="connsiteX27" fmla="*/ 2473692 w 4349650"/>
            <a:gd name="connsiteY27" fmla="*/ 1540671 h 1733551"/>
            <a:gd name="connsiteX28" fmla="*/ 2449973 w 4349650"/>
            <a:gd name="connsiteY28" fmla="*/ 1535909 h 1733551"/>
            <a:gd name="connsiteX29" fmla="*/ 2388310 w 4349650"/>
            <a:gd name="connsiteY29" fmla="*/ 1481140 h 1733551"/>
            <a:gd name="connsiteX30" fmla="*/ 2338504 w 4349650"/>
            <a:gd name="connsiteY30" fmla="*/ 1464471 h 1733551"/>
            <a:gd name="connsiteX31" fmla="*/ 2257866 w 4349650"/>
            <a:gd name="connsiteY31" fmla="*/ 1495428 h 1733551"/>
            <a:gd name="connsiteX32" fmla="*/ 2196202 w 4349650"/>
            <a:gd name="connsiteY32" fmla="*/ 1438277 h 1733551"/>
            <a:gd name="connsiteX33" fmla="*/ 2148427 w 4349650"/>
            <a:gd name="connsiteY33" fmla="*/ 1421607 h 1733551"/>
            <a:gd name="connsiteX34" fmla="*/ 2048194 w 4349650"/>
            <a:gd name="connsiteY34" fmla="*/ 1464470 h 1733551"/>
            <a:gd name="connsiteX35" fmla="*/ 1962291 w 4349650"/>
            <a:gd name="connsiteY35" fmla="*/ 1395414 h 1733551"/>
            <a:gd name="connsiteX36" fmla="*/ 1886299 w 4349650"/>
            <a:gd name="connsiteY36" fmla="*/ 1404939 h 1733551"/>
            <a:gd name="connsiteX37" fmla="*/ 1828758 w 4349650"/>
            <a:gd name="connsiteY37" fmla="*/ 1419227 h 1733551"/>
            <a:gd name="connsiteX38" fmla="*/ 1797754 w 4349650"/>
            <a:gd name="connsiteY38" fmla="*/ 1454947 h 1733551"/>
            <a:gd name="connsiteX39" fmla="*/ 1622248 w 4349650"/>
            <a:gd name="connsiteY39" fmla="*/ 1431134 h 1733551"/>
            <a:gd name="connsiteX40" fmla="*/ 1468087 w 4349650"/>
            <a:gd name="connsiteY40" fmla="*/ 1381126 h 1733551"/>
            <a:gd name="connsiteX41" fmla="*/ 1213101 w 4349650"/>
            <a:gd name="connsiteY41" fmla="*/ 1381127 h 1733551"/>
            <a:gd name="connsiteX42" fmla="*/ 763688 w 4349650"/>
            <a:gd name="connsiteY42" fmla="*/ 1285876 h 1733551"/>
            <a:gd name="connsiteX43" fmla="*/ 637859 w 4349650"/>
            <a:gd name="connsiteY43" fmla="*/ 1233489 h 1733551"/>
            <a:gd name="connsiteX44" fmla="*/ 404525 w 4349650"/>
            <a:gd name="connsiteY44" fmla="*/ 1216820 h 1733551"/>
            <a:gd name="connsiteX45" fmla="*/ 227685 w 4349650"/>
            <a:gd name="connsiteY45" fmla="*/ 1162052 h 1733551"/>
            <a:gd name="connsiteX46" fmla="*/ 0 w 4349650"/>
            <a:gd name="connsiteY46" fmla="*/ 1159670 h 1733551"/>
            <a:gd name="connsiteX47" fmla="*/ 15326 w 4349650"/>
            <a:gd name="connsiteY47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121169 w 4349650"/>
            <a:gd name="connsiteY20" fmla="*/ 1597821 h 1733551"/>
            <a:gd name="connsiteX21" fmla="*/ 2964635 w 4349650"/>
            <a:gd name="connsiteY21" fmla="*/ 1566865 h 1733551"/>
            <a:gd name="connsiteX22" fmla="*/ 2914829 w 4349650"/>
            <a:gd name="connsiteY22" fmla="*/ 1564484 h 1733551"/>
            <a:gd name="connsiteX23" fmla="*/ 2751181 w 4349650"/>
            <a:gd name="connsiteY23" fmla="*/ 1545434 h 1733551"/>
            <a:gd name="connsiteX24" fmla="*/ 2710862 w 4349650"/>
            <a:gd name="connsiteY24" fmla="*/ 1538290 h 1733551"/>
            <a:gd name="connsiteX25" fmla="*/ 2556702 w 4349650"/>
            <a:gd name="connsiteY25" fmla="*/ 1526384 h 1733551"/>
            <a:gd name="connsiteX26" fmla="*/ 2511639 w 4349650"/>
            <a:gd name="connsiteY26" fmla="*/ 1519240 h 1733551"/>
            <a:gd name="connsiteX27" fmla="*/ 2473692 w 4349650"/>
            <a:gd name="connsiteY27" fmla="*/ 1540671 h 1733551"/>
            <a:gd name="connsiteX28" fmla="*/ 2449973 w 4349650"/>
            <a:gd name="connsiteY28" fmla="*/ 1535909 h 1733551"/>
            <a:gd name="connsiteX29" fmla="*/ 2388310 w 4349650"/>
            <a:gd name="connsiteY29" fmla="*/ 1481140 h 1733551"/>
            <a:gd name="connsiteX30" fmla="*/ 2338504 w 4349650"/>
            <a:gd name="connsiteY30" fmla="*/ 1464471 h 1733551"/>
            <a:gd name="connsiteX31" fmla="*/ 2257866 w 4349650"/>
            <a:gd name="connsiteY31" fmla="*/ 1495428 h 1733551"/>
            <a:gd name="connsiteX32" fmla="*/ 2196202 w 4349650"/>
            <a:gd name="connsiteY32" fmla="*/ 1438277 h 1733551"/>
            <a:gd name="connsiteX33" fmla="*/ 2148427 w 4349650"/>
            <a:gd name="connsiteY33" fmla="*/ 1421607 h 1733551"/>
            <a:gd name="connsiteX34" fmla="*/ 2048194 w 4349650"/>
            <a:gd name="connsiteY34" fmla="*/ 1464470 h 1733551"/>
            <a:gd name="connsiteX35" fmla="*/ 1962291 w 4349650"/>
            <a:gd name="connsiteY35" fmla="*/ 1395414 h 1733551"/>
            <a:gd name="connsiteX36" fmla="*/ 1886299 w 4349650"/>
            <a:gd name="connsiteY36" fmla="*/ 1404939 h 1733551"/>
            <a:gd name="connsiteX37" fmla="*/ 1828758 w 4349650"/>
            <a:gd name="connsiteY37" fmla="*/ 1419227 h 1733551"/>
            <a:gd name="connsiteX38" fmla="*/ 1797754 w 4349650"/>
            <a:gd name="connsiteY38" fmla="*/ 1454947 h 1733551"/>
            <a:gd name="connsiteX39" fmla="*/ 1622248 w 4349650"/>
            <a:gd name="connsiteY39" fmla="*/ 1431134 h 1733551"/>
            <a:gd name="connsiteX40" fmla="*/ 1468087 w 4349650"/>
            <a:gd name="connsiteY40" fmla="*/ 1381126 h 1733551"/>
            <a:gd name="connsiteX41" fmla="*/ 1213101 w 4349650"/>
            <a:gd name="connsiteY41" fmla="*/ 1381127 h 1733551"/>
            <a:gd name="connsiteX42" fmla="*/ 763688 w 4349650"/>
            <a:gd name="connsiteY42" fmla="*/ 1285876 h 1733551"/>
            <a:gd name="connsiteX43" fmla="*/ 637859 w 4349650"/>
            <a:gd name="connsiteY43" fmla="*/ 1233489 h 1733551"/>
            <a:gd name="connsiteX44" fmla="*/ 404525 w 4349650"/>
            <a:gd name="connsiteY44" fmla="*/ 1216820 h 1733551"/>
            <a:gd name="connsiteX45" fmla="*/ 227685 w 4349650"/>
            <a:gd name="connsiteY45" fmla="*/ 1162052 h 1733551"/>
            <a:gd name="connsiteX46" fmla="*/ 0 w 4349650"/>
            <a:gd name="connsiteY46" fmla="*/ 1159670 h 1733551"/>
            <a:gd name="connsiteX47" fmla="*/ 15326 w 4349650"/>
            <a:gd name="connsiteY47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154372 w 4349650"/>
            <a:gd name="connsiteY20" fmla="*/ 1602584 h 1733551"/>
            <a:gd name="connsiteX21" fmla="*/ 3121169 w 4349650"/>
            <a:gd name="connsiteY21" fmla="*/ 1597821 h 1733551"/>
            <a:gd name="connsiteX22" fmla="*/ 2964635 w 4349650"/>
            <a:gd name="connsiteY22" fmla="*/ 1566865 h 1733551"/>
            <a:gd name="connsiteX23" fmla="*/ 2914829 w 4349650"/>
            <a:gd name="connsiteY23" fmla="*/ 1564484 h 1733551"/>
            <a:gd name="connsiteX24" fmla="*/ 2751181 w 4349650"/>
            <a:gd name="connsiteY24" fmla="*/ 1545434 h 1733551"/>
            <a:gd name="connsiteX25" fmla="*/ 2710862 w 4349650"/>
            <a:gd name="connsiteY25" fmla="*/ 1538290 h 1733551"/>
            <a:gd name="connsiteX26" fmla="*/ 2556702 w 4349650"/>
            <a:gd name="connsiteY26" fmla="*/ 1526384 h 1733551"/>
            <a:gd name="connsiteX27" fmla="*/ 2511639 w 4349650"/>
            <a:gd name="connsiteY27" fmla="*/ 1519240 h 1733551"/>
            <a:gd name="connsiteX28" fmla="*/ 2473692 w 4349650"/>
            <a:gd name="connsiteY28" fmla="*/ 1540671 h 1733551"/>
            <a:gd name="connsiteX29" fmla="*/ 2449973 w 4349650"/>
            <a:gd name="connsiteY29" fmla="*/ 1535909 h 1733551"/>
            <a:gd name="connsiteX30" fmla="*/ 2388310 w 4349650"/>
            <a:gd name="connsiteY30" fmla="*/ 1481140 h 1733551"/>
            <a:gd name="connsiteX31" fmla="*/ 2338504 w 4349650"/>
            <a:gd name="connsiteY31" fmla="*/ 1464471 h 1733551"/>
            <a:gd name="connsiteX32" fmla="*/ 2257866 w 4349650"/>
            <a:gd name="connsiteY32" fmla="*/ 1495428 h 1733551"/>
            <a:gd name="connsiteX33" fmla="*/ 2196202 w 4349650"/>
            <a:gd name="connsiteY33" fmla="*/ 1438277 h 1733551"/>
            <a:gd name="connsiteX34" fmla="*/ 2148427 w 4349650"/>
            <a:gd name="connsiteY34" fmla="*/ 1421607 h 1733551"/>
            <a:gd name="connsiteX35" fmla="*/ 2048194 w 4349650"/>
            <a:gd name="connsiteY35" fmla="*/ 1464470 h 1733551"/>
            <a:gd name="connsiteX36" fmla="*/ 1962291 w 4349650"/>
            <a:gd name="connsiteY36" fmla="*/ 1395414 h 1733551"/>
            <a:gd name="connsiteX37" fmla="*/ 1886299 w 4349650"/>
            <a:gd name="connsiteY37" fmla="*/ 1404939 h 1733551"/>
            <a:gd name="connsiteX38" fmla="*/ 1828758 w 4349650"/>
            <a:gd name="connsiteY38" fmla="*/ 1419227 h 1733551"/>
            <a:gd name="connsiteX39" fmla="*/ 1797754 w 4349650"/>
            <a:gd name="connsiteY39" fmla="*/ 1454947 h 1733551"/>
            <a:gd name="connsiteX40" fmla="*/ 1622248 w 4349650"/>
            <a:gd name="connsiteY40" fmla="*/ 1431134 h 1733551"/>
            <a:gd name="connsiteX41" fmla="*/ 1468087 w 4349650"/>
            <a:gd name="connsiteY41" fmla="*/ 1381126 h 1733551"/>
            <a:gd name="connsiteX42" fmla="*/ 1213101 w 4349650"/>
            <a:gd name="connsiteY42" fmla="*/ 1381127 h 1733551"/>
            <a:gd name="connsiteX43" fmla="*/ 763688 w 4349650"/>
            <a:gd name="connsiteY43" fmla="*/ 1285876 h 1733551"/>
            <a:gd name="connsiteX44" fmla="*/ 637859 w 4349650"/>
            <a:gd name="connsiteY44" fmla="*/ 1233489 h 1733551"/>
            <a:gd name="connsiteX45" fmla="*/ 404525 w 4349650"/>
            <a:gd name="connsiteY45" fmla="*/ 1216820 h 1733551"/>
            <a:gd name="connsiteX46" fmla="*/ 227685 w 4349650"/>
            <a:gd name="connsiteY46" fmla="*/ 1162052 h 1733551"/>
            <a:gd name="connsiteX47" fmla="*/ 0 w 4349650"/>
            <a:gd name="connsiteY47" fmla="*/ 1159670 h 1733551"/>
            <a:gd name="connsiteX48" fmla="*/ 15326 w 4349650"/>
            <a:gd name="connsiteY48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318020 w 4349650"/>
            <a:gd name="connsiteY20" fmla="*/ 1624015 h 1733551"/>
            <a:gd name="connsiteX21" fmla="*/ 3154372 w 4349650"/>
            <a:gd name="connsiteY21" fmla="*/ 1602584 h 1733551"/>
            <a:gd name="connsiteX22" fmla="*/ 3121169 w 4349650"/>
            <a:gd name="connsiteY22" fmla="*/ 1597821 h 1733551"/>
            <a:gd name="connsiteX23" fmla="*/ 2964635 w 4349650"/>
            <a:gd name="connsiteY23" fmla="*/ 1566865 h 1733551"/>
            <a:gd name="connsiteX24" fmla="*/ 2914829 w 4349650"/>
            <a:gd name="connsiteY24" fmla="*/ 1564484 h 1733551"/>
            <a:gd name="connsiteX25" fmla="*/ 2751181 w 4349650"/>
            <a:gd name="connsiteY25" fmla="*/ 1545434 h 1733551"/>
            <a:gd name="connsiteX26" fmla="*/ 2710862 w 4349650"/>
            <a:gd name="connsiteY26" fmla="*/ 1538290 h 1733551"/>
            <a:gd name="connsiteX27" fmla="*/ 2556702 w 4349650"/>
            <a:gd name="connsiteY27" fmla="*/ 1526384 h 1733551"/>
            <a:gd name="connsiteX28" fmla="*/ 2511639 w 4349650"/>
            <a:gd name="connsiteY28" fmla="*/ 1519240 h 1733551"/>
            <a:gd name="connsiteX29" fmla="*/ 2473692 w 4349650"/>
            <a:gd name="connsiteY29" fmla="*/ 1540671 h 1733551"/>
            <a:gd name="connsiteX30" fmla="*/ 2449973 w 4349650"/>
            <a:gd name="connsiteY30" fmla="*/ 1535909 h 1733551"/>
            <a:gd name="connsiteX31" fmla="*/ 2388310 w 4349650"/>
            <a:gd name="connsiteY31" fmla="*/ 1481140 h 1733551"/>
            <a:gd name="connsiteX32" fmla="*/ 2338504 w 4349650"/>
            <a:gd name="connsiteY32" fmla="*/ 1464471 h 1733551"/>
            <a:gd name="connsiteX33" fmla="*/ 2257866 w 4349650"/>
            <a:gd name="connsiteY33" fmla="*/ 1495428 h 1733551"/>
            <a:gd name="connsiteX34" fmla="*/ 2196202 w 4349650"/>
            <a:gd name="connsiteY34" fmla="*/ 1438277 h 1733551"/>
            <a:gd name="connsiteX35" fmla="*/ 2148427 w 4349650"/>
            <a:gd name="connsiteY35" fmla="*/ 1421607 h 1733551"/>
            <a:gd name="connsiteX36" fmla="*/ 2048194 w 4349650"/>
            <a:gd name="connsiteY36" fmla="*/ 1464470 h 1733551"/>
            <a:gd name="connsiteX37" fmla="*/ 1962291 w 4349650"/>
            <a:gd name="connsiteY37" fmla="*/ 1395414 h 1733551"/>
            <a:gd name="connsiteX38" fmla="*/ 1886299 w 4349650"/>
            <a:gd name="connsiteY38" fmla="*/ 1404939 h 1733551"/>
            <a:gd name="connsiteX39" fmla="*/ 1828758 w 4349650"/>
            <a:gd name="connsiteY39" fmla="*/ 1419227 h 1733551"/>
            <a:gd name="connsiteX40" fmla="*/ 1797754 w 4349650"/>
            <a:gd name="connsiteY40" fmla="*/ 1454947 h 1733551"/>
            <a:gd name="connsiteX41" fmla="*/ 1622248 w 4349650"/>
            <a:gd name="connsiteY41" fmla="*/ 1431134 h 1733551"/>
            <a:gd name="connsiteX42" fmla="*/ 1468087 w 4349650"/>
            <a:gd name="connsiteY42" fmla="*/ 1381126 h 1733551"/>
            <a:gd name="connsiteX43" fmla="*/ 1213101 w 4349650"/>
            <a:gd name="connsiteY43" fmla="*/ 1381127 h 1733551"/>
            <a:gd name="connsiteX44" fmla="*/ 763688 w 4349650"/>
            <a:gd name="connsiteY44" fmla="*/ 1285876 h 1733551"/>
            <a:gd name="connsiteX45" fmla="*/ 637859 w 4349650"/>
            <a:gd name="connsiteY45" fmla="*/ 1233489 h 1733551"/>
            <a:gd name="connsiteX46" fmla="*/ 404525 w 4349650"/>
            <a:gd name="connsiteY46" fmla="*/ 1216820 h 1733551"/>
            <a:gd name="connsiteX47" fmla="*/ 227685 w 4349650"/>
            <a:gd name="connsiteY47" fmla="*/ 1162052 h 1733551"/>
            <a:gd name="connsiteX48" fmla="*/ 0 w 4349650"/>
            <a:gd name="connsiteY48" fmla="*/ 1159670 h 1733551"/>
            <a:gd name="connsiteX49" fmla="*/ 15326 w 4349650"/>
            <a:gd name="connsiteY49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365454 w 4349650"/>
            <a:gd name="connsiteY20" fmla="*/ 1631159 h 1733551"/>
            <a:gd name="connsiteX21" fmla="*/ 3318020 w 4349650"/>
            <a:gd name="connsiteY21" fmla="*/ 1624015 h 1733551"/>
            <a:gd name="connsiteX22" fmla="*/ 3154372 w 4349650"/>
            <a:gd name="connsiteY22" fmla="*/ 1602584 h 1733551"/>
            <a:gd name="connsiteX23" fmla="*/ 3121169 w 4349650"/>
            <a:gd name="connsiteY23" fmla="*/ 1597821 h 1733551"/>
            <a:gd name="connsiteX24" fmla="*/ 2964635 w 4349650"/>
            <a:gd name="connsiteY24" fmla="*/ 1566865 h 1733551"/>
            <a:gd name="connsiteX25" fmla="*/ 2914829 w 4349650"/>
            <a:gd name="connsiteY25" fmla="*/ 1564484 h 1733551"/>
            <a:gd name="connsiteX26" fmla="*/ 2751181 w 4349650"/>
            <a:gd name="connsiteY26" fmla="*/ 1545434 h 1733551"/>
            <a:gd name="connsiteX27" fmla="*/ 2710862 w 4349650"/>
            <a:gd name="connsiteY27" fmla="*/ 1538290 h 1733551"/>
            <a:gd name="connsiteX28" fmla="*/ 2556702 w 4349650"/>
            <a:gd name="connsiteY28" fmla="*/ 1526384 h 1733551"/>
            <a:gd name="connsiteX29" fmla="*/ 2511639 w 4349650"/>
            <a:gd name="connsiteY29" fmla="*/ 1519240 h 1733551"/>
            <a:gd name="connsiteX30" fmla="*/ 2473692 w 4349650"/>
            <a:gd name="connsiteY30" fmla="*/ 1540671 h 1733551"/>
            <a:gd name="connsiteX31" fmla="*/ 2449973 w 4349650"/>
            <a:gd name="connsiteY31" fmla="*/ 1535909 h 1733551"/>
            <a:gd name="connsiteX32" fmla="*/ 2388310 w 4349650"/>
            <a:gd name="connsiteY32" fmla="*/ 1481140 h 1733551"/>
            <a:gd name="connsiteX33" fmla="*/ 2338504 w 4349650"/>
            <a:gd name="connsiteY33" fmla="*/ 1464471 h 1733551"/>
            <a:gd name="connsiteX34" fmla="*/ 2257866 w 4349650"/>
            <a:gd name="connsiteY34" fmla="*/ 1495428 h 1733551"/>
            <a:gd name="connsiteX35" fmla="*/ 2196202 w 4349650"/>
            <a:gd name="connsiteY35" fmla="*/ 1438277 h 1733551"/>
            <a:gd name="connsiteX36" fmla="*/ 2148427 w 4349650"/>
            <a:gd name="connsiteY36" fmla="*/ 1421607 h 1733551"/>
            <a:gd name="connsiteX37" fmla="*/ 2048194 w 4349650"/>
            <a:gd name="connsiteY37" fmla="*/ 1464470 h 1733551"/>
            <a:gd name="connsiteX38" fmla="*/ 1962291 w 4349650"/>
            <a:gd name="connsiteY38" fmla="*/ 1395414 h 1733551"/>
            <a:gd name="connsiteX39" fmla="*/ 1886299 w 4349650"/>
            <a:gd name="connsiteY39" fmla="*/ 1404939 h 1733551"/>
            <a:gd name="connsiteX40" fmla="*/ 1828758 w 4349650"/>
            <a:gd name="connsiteY40" fmla="*/ 1419227 h 1733551"/>
            <a:gd name="connsiteX41" fmla="*/ 1797754 w 4349650"/>
            <a:gd name="connsiteY41" fmla="*/ 1454947 h 1733551"/>
            <a:gd name="connsiteX42" fmla="*/ 1622248 w 4349650"/>
            <a:gd name="connsiteY42" fmla="*/ 1431134 h 1733551"/>
            <a:gd name="connsiteX43" fmla="*/ 1468087 w 4349650"/>
            <a:gd name="connsiteY43" fmla="*/ 1381126 h 1733551"/>
            <a:gd name="connsiteX44" fmla="*/ 1213101 w 4349650"/>
            <a:gd name="connsiteY44" fmla="*/ 1381127 h 1733551"/>
            <a:gd name="connsiteX45" fmla="*/ 763688 w 4349650"/>
            <a:gd name="connsiteY45" fmla="*/ 1285876 h 1733551"/>
            <a:gd name="connsiteX46" fmla="*/ 637859 w 4349650"/>
            <a:gd name="connsiteY46" fmla="*/ 1233489 h 1733551"/>
            <a:gd name="connsiteX47" fmla="*/ 404525 w 4349650"/>
            <a:gd name="connsiteY47" fmla="*/ 1216820 h 1733551"/>
            <a:gd name="connsiteX48" fmla="*/ 227685 w 4349650"/>
            <a:gd name="connsiteY48" fmla="*/ 1162052 h 1733551"/>
            <a:gd name="connsiteX49" fmla="*/ 0 w 4349650"/>
            <a:gd name="connsiteY49" fmla="*/ 1159670 h 1733551"/>
            <a:gd name="connsiteX50" fmla="*/ 15326 w 4349650"/>
            <a:gd name="connsiteY50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524358 w 4349650"/>
            <a:gd name="connsiteY20" fmla="*/ 1647827 h 1733551"/>
            <a:gd name="connsiteX21" fmla="*/ 3365454 w 4349650"/>
            <a:gd name="connsiteY21" fmla="*/ 1631159 h 1733551"/>
            <a:gd name="connsiteX22" fmla="*/ 3318020 w 4349650"/>
            <a:gd name="connsiteY22" fmla="*/ 1624015 h 1733551"/>
            <a:gd name="connsiteX23" fmla="*/ 3154372 w 4349650"/>
            <a:gd name="connsiteY23" fmla="*/ 1602584 h 1733551"/>
            <a:gd name="connsiteX24" fmla="*/ 3121169 w 4349650"/>
            <a:gd name="connsiteY24" fmla="*/ 1597821 h 1733551"/>
            <a:gd name="connsiteX25" fmla="*/ 2964635 w 4349650"/>
            <a:gd name="connsiteY25" fmla="*/ 1566865 h 1733551"/>
            <a:gd name="connsiteX26" fmla="*/ 2914829 w 4349650"/>
            <a:gd name="connsiteY26" fmla="*/ 1564484 h 1733551"/>
            <a:gd name="connsiteX27" fmla="*/ 2751181 w 4349650"/>
            <a:gd name="connsiteY27" fmla="*/ 1545434 h 1733551"/>
            <a:gd name="connsiteX28" fmla="*/ 2710862 w 4349650"/>
            <a:gd name="connsiteY28" fmla="*/ 1538290 h 1733551"/>
            <a:gd name="connsiteX29" fmla="*/ 2556702 w 4349650"/>
            <a:gd name="connsiteY29" fmla="*/ 1526384 h 1733551"/>
            <a:gd name="connsiteX30" fmla="*/ 2511639 w 4349650"/>
            <a:gd name="connsiteY30" fmla="*/ 1519240 h 1733551"/>
            <a:gd name="connsiteX31" fmla="*/ 2473692 w 4349650"/>
            <a:gd name="connsiteY31" fmla="*/ 1540671 h 1733551"/>
            <a:gd name="connsiteX32" fmla="*/ 2449973 w 4349650"/>
            <a:gd name="connsiteY32" fmla="*/ 1535909 h 1733551"/>
            <a:gd name="connsiteX33" fmla="*/ 2388310 w 4349650"/>
            <a:gd name="connsiteY33" fmla="*/ 1481140 h 1733551"/>
            <a:gd name="connsiteX34" fmla="*/ 2338504 w 4349650"/>
            <a:gd name="connsiteY34" fmla="*/ 1464471 h 1733551"/>
            <a:gd name="connsiteX35" fmla="*/ 2257866 w 4349650"/>
            <a:gd name="connsiteY35" fmla="*/ 1495428 h 1733551"/>
            <a:gd name="connsiteX36" fmla="*/ 2196202 w 4349650"/>
            <a:gd name="connsiteY36" fmla="*/ 1438277 h 1733551"/>
            <a:gd name="connsiteX37" fmla="*/ 2148427 w 4349650"/>
            <a:gd name="connsiteY37" fmla="*/ 1421607 h 1733551"/>
            <a:gd name="connsiteX38" fmla="*/ 2048194 w 4349650"/>
            <a:gd name="connsiteY38" fmla="*/ 1464470 h 1733551"/>
            <a:gd name="connsiteX39" fmla="*/ 1962291 w 4349650"/>
            <a:gd name="connsiteY39" fmla="*/ 1395414 h 1733551"/>
            <a:gd name="connsiteX40" fmla="*/ 1886299 w 4349650"/>
            <a:gd name="connsiteY40" fmla="*/ 1404939 h 1733551"/>
            <a:gd name="connsiteX41" fmla="*/ 1828758 w 4349650"/>
            <a:gd name="connsiteY41" fmla="*/ 1419227 h 1733551"/>
            <a:gd name="connsiteX42" fmla="*/ 1797754 w 4349650"/>
            <a:gd name="connsiteY42" fmla="*/ 1454947 h 1733551"/>
            <a:gd name="connsiteX43" fmla="*/ 1622248 w 4349650"/>
            <a:gd name="connsiteY43" fmla="*/ 1431134 h 1733551"/>
            <a:gd name="connsiteX44" fmla="*/ 1468087 w 4349650"/>
            <a:gd name="connsiteY44" fmla="*/ 1381126 h 1733551"/>
            <a:gd name="connsiteX45" fmla="*/ 1213101 w 4349650"/>
            <a:gd name="connsiteY45" fmla="*/ 1381127 h 1733551"/>
            <a:gd name="connsiteX46" fmla="*/ 763688 w 4349650"/>
            <a:gd name="connsiteY46" fmla="*/ 1285876 h 1733551"/>
            <a:gd name="connsiteX47" fmla="*/ 637859 w 4349650"/>
            <a:gd name="connsiteY47" fmla="*/ 1233489 h 1733551"/>
            <a:gd name="connsiteX48" fmla="*/ 404525 w 4349650"/>
            <a:gd name="connsiteY48" fmla="*/ 1216820 h 1733551"/>
            <a:gd name="connsiteX49" fmla="*/ 227685 w 4349650"/>
            <a:gd name="connsiteY49" fmla="*/ 1162052 h 1733551"/>
            <a:gd name="connsiteX50" fmla="*/ 0 w 4349650"/>
            <a:gd name="connsiteY50" fmla="*/ 1159670 h 1733551"/>
            <a:gd name="connsiteX51" fmla="*/ 15326 w 4349650"/>
            <a:gd name="connsiteY51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531474 w 4349650"/>
            <a:gd name="connsiteY20" fmla="*/ 1659733 h 1733551"/>
            <a:gd name="connsiteX21" fmla="*/ 3365454 w 4349650"/>
            <a:gd name="connsiteY21" fmla="*/ 1631159 h 1733551"/>
            <a:gd name="connsiteX22" fmla="*/ 3318020 w 4349650"/>
            <a:gd name="connsiteY22" fmla="*/ 1624015 h 1733551"/>
            <a:gd name="connsiteX23" fmla="*/ 3154372 w 4349650"/>
            <a:gd name="connsiteY23" fmla="*/ 1602584 h 1733551"/>
            <a:gd name="connsiteX24" fmla="*/ 3121169 w 4349650"/>
            <a:gd name="connsiteY24" fmla="*/ 1597821 h 1733551"/>
            <a:gd name="connsiteX25" fmla="*/ 2964635 w 4349650"/>
            <a:gd name="connsiteY25" fmla="*/ 1566865 h 1733551"/>
            <a:gd name="connsiteX26" fmla="*/ 2914829 w 4349650"/>
            <a:gd name="connsiteY26" fmla="*/ 1564484 h 1733551"/>
            <a:gd name="connsiteX27" fmla="*/ 2751181 w 4349650"/>
            <a:gd name="connsiteY27" fmla="*/ 1545434 h 1733551"/>
            <a:gd name="connsiteX28" fmla="*/ 2710862 w 4349650"/>
            <a:gd name="connsiteY28" fmla="*/ 1538290 h 1733551"/>
            <a:gd name="connsiteX29" fmla="*/ 2556702 w 4349650"/>
            <a:gd name="connsiteY29" fmla="*/ 1526384 h 1733551"/>
            <a:gd name="connsiteX30" fmla="*/ 2511639 w 4349650"/>
            <a:gd name="connsiteY30" fmla="*/ 1519240 h 1733551"/>
            <a:gd name="connsiteX31" fmla="*/ 2473692 w 4349650"/>
            <a:gd name="connsiteY31" fmla="*/ 1540671 h 1733551"/>
            <a:gd name="connsiteX32" fmla="*/ 2449973 w 4349650"/>
            <a:gd name="connsiteY32" fmla="*/ 1535909 h 1733551"/>
            <a:gd name="connsiteX33" fmla="*/ 2388310 w 4349650"/>
            <a:gd name="connsiteY33" fmla="*/ 1481140 h 1733551"/>
            <a:gd name="connsiteX34" fmla="*/ 2338504 w 4349650"/>
            <a:gd name="connsiteY34" fmla="*/ 1464471 h 1733551"/>
            <a:gd name="connsiteX35" fmla="*/ 2257866 w 4349650"/>
            <a:gd name="connsiteY35" fmla="*/ 1495428 h 1733551"/>
            <a:gd name="connsiteX36" fmla="*/ 2196202 w 4349650"/>
            <a:gd name="connsiteY36" fmla="*/ 1438277 h 1733551"/>
            <a:gd name="connsiteX37" fmla="*/ 2148427 w 4349650"/>
            <a:gd name="connsiteY37" fmla="*/ 1421607 h 1733551"/>
            <a:gd name="connsiteX38" fmla="*/ 2048194 w 4349650"/>
            <a:gd name="connsiteY38" fmla="*/ 1464470 h 1733551"/>
            <a:gd name="connsiteX39" fmla="*/ 1962291 w 4349650"/>
            <a:gd name="connsiteY39" fmla="*/ 1395414 h 1733551"/>
            <a:gd name="connsiteX40" fmla="*/ 1886299 w 4349650"/>
            <a:gd name="connsiteY40" fmla="*/ 1404939 h 1733551"/>
            <a:gd name="connsiteX41" fmla="*/ 1828758 w 4349650"/>
            <a:gd name="connsiteY41" fmla="*/ 1419227 h 1733551"/>
            <a:gd name="connsiteX42" fmla="*/ 1797754 w 4349650"/>
            <a:gd name="connsiteY42" fmla="*/ 1454947 h 1733551"/>
            <a:gd name="connsiteX43" fmla="*/ 1622248 w 4349650"/>
            <a:gd name="connsiteY43" fmla="*/ 1431134 h 1733551"/>
            <a:gd name="connsiteX44" fmla="*/ 1468087 w 4349650"/>
            <a:gd name="connsiteY44" fmla="*/ 1381126 h 1733551"/>
            <a:gd name="connsiteX45" fmla="*/ 1213101 w 4349650"/>
            <a:gd name="connsiteY45" fmla="*/ 1381127 h 1733551"/>
            <a:gd name="connsiteX46" fmla="*/ 763688 w 4349650"/>
            <a:gd name="connsiteY46" fmla="*/ 1285876 h 1733551"/>
            <a:gd name="connsiteX47" fmla="*/ 637859 w 4349650"/>
            <a:gd name="connsiteY47" fmla="*/ 1233489 h 1733551"/>
            <a:gd name="connsiteX48" fmla="*/ 404525 w 4349650"/>
            <a:gd name="connsiteY48" fmla="*/ 1216820 h 1733551"/>
            <a:gd name="connsiteX49" fmla="*/ 227685 w 4349650"/>
            <a:gd name="connsiteY49" fmla="*/ 1162052 h 1733551"/>
            <a:gd name="connsiteX50" fmla="*/ 0 w 4349650"/>
            <a:gd name="connsiteY50" fmla="*/ 1159670 h 1733551"/>
            <a:gd name="connsiteX51" fmla="*/ 15326 w 4349650"/>
            <a:gd name="connsiteY51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552819 w 4349650"/>
            <a:gd name="connsiteY20" fmla="*/ 1662115 h 1733551"/>
            <a:gd name="connsiteX21" fmla="*/ 3531474 w 4349650"/>
            <a:gd name="connsiteY21" fmla="*/ 1659733 h 1733551"/>
            <a:gd name="connsiteX22" fmla="*/ 3365454 w 4349650"/>
            <a:gd name="connsiteY22" fmla="*/ 1631159 h 1733551"/>
            <a:gd name="connsiteX23" fmla="*/ 3318020 w 4349650"/>
            <a:gd name="connsiteY23" fmla="*/ 1624015 h 1733551"/>
            <a:gd name="connsiteX24" fmla="*/ 3154372 w 4349650"/>
            <a:gd name="connsiteY24" fmla="*/ 1602584 h 1733551"/>
            <a:gd name="connsiteX25" fmla="*/ 3121169 w 4349650"/>
            <a:gd name="connsiteY25" fmla="*/ 1597821 h 1733551"/>
            <a:gd name="connsiteX26" fmla="*/ 2964635 w 4349650"/>
            <a:gd name="connsiteY26" fmla="*/ 1566865 h 1733551"/>
            <a:gd name="connsiteX27" fmla="*/ 2914829 w 4349650"/>
            <a:gd name="connsiteY27" fmla="*/ 1564484 h 1733551"/>
            <a:gd name="connsiteX28" fmla="*/ 2751181 w 4349650"/>
            <a:gd name="connsiteY28" fmla="*/ 1545434 h 1733551"/>
            <a:gd name="connsiteX29" fmla="*/ 2710862 w 4349650"/>
            <a:gd name="connsiteY29" fmla="*/ 1538290 h 1733551"/>
            <a:gd name="connsiteX30" fmla="*/ 2556702 w 4349650"/>
            <a:gd name="connsiteY30" fmla="*/ 1526384 h 1733551"/>
            <a:gd name="connsiteX31" fmla="*/ 2511639 w 4349650"/>
            <a:gd name="connsiteY31" fmla="*/ 1519240 h 1733551"/>
            <a:gd name="connsiteX32" fmla="*/ 2473692 w 4349650"/>
            <a:gd name="connsiteY32" fmla="*/ 1540671 h 1733551"/>
            <a:gd name="connsiteX33" fmla="*/ 2449973 w 4349650"/>
            <a:gd name="connsiteY33" fmla="*/ 1535909 h 1733551"/>
            <a:gd name="connsiteX34" fmla="*/ 2388310 w 4349650"/>
            <a:gd name="connsiteY34" fmla="*/ 1481140 h 1733551"/>
            <a:gd name="connsiteX35" fmla="*/ 2338504 w 4349650"/>
            <a:gd name="connsiteY35" fmla="*/ 1464471 h 1733551"/>
            <a:gd name="connsiteX36" fmla="*/ 2257866 w 4349650"/>
            <a:gd name="connsiteY36" fmla="*/ 1495428 h 1733551"/>
            <a:gd name="connsiteX37" fmla="*/ 2196202 w 4349650"/>
            <a:gd name="connsiteY37" fmla="*/ 1438277 h 1733551"/>
            <a:gd name="connsiteX38" fmla="*/ 2148427 w 4349650"/>
            <a:gd name="connsiteY38" fmla="*/ 1421607 h 1733551"/>
            <a:gd name="connsiteX39" fmla="*/ 2048194 w 4349650"/>
            <a:gd name="connsiteY39" fmla="*/ 1464470 h 1733551"/>
            <a:gd name="connsiteX40" fmla="*/ 1962291 w 4349650"/>
            <a:gd name="connsiteY40" fmla="*/ 1395414 h 1733551"/>
            <a:gd name="connsiteX41" fmla="*/ 1886299 w 4349650"/>
            <a:gd name="connsiteY41" fmla="*/ 1404939 h 1733551"/>
            <a:gd name="connsiteX42" fmla="*/ 1828758 w 4349650"/>
            <a:gd name="connsiteY42" fmla="*/ 1419227 h 1733551"/>
            <a:gd name="connsiteX43" fmla="*/ 1797754 w 4349650"/>
            <a:gd name="connsiteY43" fmla="*/ 1454947 h 1733551"/>
            <a:gd name="connsiteX44" fmla="*/ 1622248 w 4349650"/>
            <a:gd name="connsiteY44" fmla="*/ 1431134 h 1733551"/>
            <a:gd name="connsiteX45" fmla="*/ 1468087 w 4349650"/>
            <a:gd name="connsiteY45" fmla="*/ 1381126 h 1733551"/>
            <a:gd name="connsiteX46" fmla="*/ 1213101 w 4349650"/>
            <a:gd name="connsiteY46" fmla="*/ 1381127 h 1733551"/>
            <a:gd name="connsiteX47" fmla="*/ 763688 w 4349650"/>
            <a:gd name="connsiteY47" fmla="*/ 1285876 h 1733551"/>
            <a:gd name="connsiteX48" fmla="*/ 637859 w 4349650"/>
            <a:gd name="connsiteY48" fmla="*/ 1233489 h 1733551"/>
            <a:gd name="connsiteX49" fmla="*/ 404525 w 4349650"/>
            <a:gd name="connsiteY49" fmla="*/ 1216820 h 1733551"/>
            <a:gd name="connsiteX50" fmla="*/ 227685 w 4349650"/>
            <a:gd name="connsiteY50" fmla="*/ 1162052 h 1733551"/>
            <a:gd name="connsiteX51" fmla="*/ 0 w 4349650"/>
            <a:gd name="connsiteY51" fmla="*/ 1159670 h 1733551"/>
            <a:gd name="connsiteX52" fmla="*/ 15326 w 4349650"/>
            <a:gd name="connsiteY52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725953 w 4349650"/>
            <a:gd name="connsiteY20" fmla="*/ 1678784 h 1733551"/>
            <a:gd name="connsiteX21" fmla="*/ 3552819 w 4349650"/>
            <a:gd name="connsiteY21" fmla="*/ 1662115 h 1733551"/>
            <a:gd name="connsiteX22" fmla="*/ 3531474 w 4349650"/>
            <a:gd name="connsiteY22" fmla="*/ 1659733 h 1733551"/>
            <a:gd name="connsiteX23" fmla="*/ 3365454 w 4349650"/>
            <a:gd name="connsiteY23" fmla="*/ 1631159 h 1733551"/>
            <a:gd name="connsiteX24" fmla="*/ 3318020 w 4349650"/>
            <a:gd name="connsiteY24" fmla="*/ 1624015 h 1733551"/>
            <a:gd name="connsiteX25" fmla="*/ 3154372 w 4349650"/>
            <a:gd name="connsiteY25" fmla="*/ 1602584 h 1733551"/>
            <a:gd name="connsiteX26" fmla="*/ 3121169 w 4349650"/>
            <a:gd name="connsiteY26" fmla="*/ 1597821 h 1733551"/>
            <a:gd name="connsiteX27" fmla="*/ 2964635 w 4349650"/>
            <a:gd name="connsiteY27" fmla="*/ 1566865 h 1733551"/>
            <a:gd name="connsiteX28" fmla="*/ 2914829 w 4349650"/>
            <a:gd name="connsiteY28" fmla="*/ 1564484 h 1733551"/>
            <a:gd name="connsiteX29" fmla="*/ 2751181 w 4349650"/>
            <a:gd name="connsiteY29" fmla="*/ 1545434 h 1733551"/>
            <a:gd name="connsiteX30" fmla="*/ 2710862 w 4349650"/>
            <a:gd name="connsiteY30" fmla="*/ 1538290 h 1733551"/>
            <a:gd name="connsiteX31" fmla="*/ 2556702 w 4349650"/>
            <a:gd name="connsiteY31" fmla="*/ 1526384 h 1733551"/>
            <a:gd name="connsiteX32" fmla="*/ 2511639 w 4349650"/>
            <a:gd name="connsiteY32" fmla="*/ 1519240 h 1733551"/>
            <a:gd name="connsiteX33" fmla="*/ 2473692 w 4349650"/>
            <a:gd name="connsiteY33" fmla="*/ 1540671 h 1733551"/>
            <a:gd name="connsiteX34" fmla="*/ 2449973 w 4349650"/>
            <a:gd name="connsiteY34" fmla="*/ 1535909 h 1733551"/>
            <a:gd name="connsiteX35" fmla="*/ 2388310 w 4349650"/>
            <a:gd name="connsiteY35" fmla="*/ 1481140 h 1733551"/>
            <a:gd name="connsiteX36" fmla="*/ 2338504 w 4349650"/>
            <a:gd name="connsiteY36" fmla="*/ 1464471 h 1733551"/>
            <a:gd name="connsiteX37" fmla="*/ 2257866 w 4349650"/>
            <a:gd name="connsiteY37" fmla="*/ 1495428 h 1733551"/>
            <a:gd name="connsiteX38" fmla="*/ 2196202 w 4349650"/>
            <a:gd name="connsiteY38" fmla="*/ 1438277 h 1733551"/>
            <a:gd name="connsiteX39" fmla="*/ 2148427 w 4349650"/>
            <a:gd name="connsiteY39" fmla="*/ 1421607 h 1733551"/>
            <a:gd name="connsiteX40" fmla="*/ 2048194 w 4349650"/>
            <a:gd name="connsiteY40" fmla="*/ 1464470 h 1733551"/>
            <a:gd name="connsiteX41" fmla="*/ 1962291 w 4349650"/>
            <a:gd name="connsiteY41" fmla="*/ 1395414 h 1733551"/>
            <a:gd name="connsiteX42" fmla="*/ 1886299 w 4349650"/>
            <a:gd name="connsiteY42" fmla="*/ 1404939 h 1733551"/>
            <a:gd name="connsiteX43" fmla="*/ 1828758 w 4349650"/>
            <a:gd name="connsiteY43" fmla="*/ 1419227 h 1733551"/>
            <a:gd name="connsiteX44" fmla="*/ 1797754 w 4349650"/>
            <a:gd name="connsiteY44" fmla="*/ 1454947 h 1733551"/>
            <a:gd name="connsiteX45" fmla="*/ 1622248 w 4349650"/>
            <a:gd name="connsiteY45" fmla="*/ 1431134 h 1733551"/>
            <a:gd name="connsiteX46" fmla="*/ 1468087 w 4349650"/>
            <a:gd name="connsiteY46" fmla="*/ 1381126 h 1733551"/>
            <a:gd name="connsiteX47" fmla="*/ 1213101 w 4349650"/>
            <a:gd name="connsiteY47" fmla="*/ 1381127 h 1733551"/>
            <a:gd name="connsiteX48" fmla="*/ 763688 w 4349650"/>
            <a:gd name="connsiteY48" fmla="*/ 1285876 h 1733551"/>
            <a:gd name="connsiteX49" fmla="*/ 637859 w 4349650"/>
            <a:gd name="connsiteY49" fmla="*/ 1233489 h 1733551"/>
            <a:gd name="connsiteX50" fmla="*/ 404525 w 4349650"/>
            <a:gd name="connsiteY50" fmla="*/ 1216820 h 1733551"/>
            <a:gd name="connsiteX51" fmla="*/ 227685 w 4349650"/>
            <a:gd name="connsiteY51" fmla="*/ 1162052 h 1733551"/>
            <a:gd name="connsiteX52" fmla="*/ 0 w 4349650"/>
            <a:gd name="connsiteY52" fmla="*/ 1159670 h 1733551"/>
            <a:gd name="connsiteX53" fmla="*/ 15326 w 4349650"/>
            <a:gd name="connsiteY5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725953 w 4349650"/>
            <a:gd name="connsiteY20" fmla="*/ 1693071 h 1733551"/>
            <a:gd name="connsiteX21" fmla="*/ 3552819 w 4349650"/>
            <a:gd name="connsiteY21" fmla="*/ 1662115 h 1733551"/>
            <a:gd name="connsiteX22" fmla="*/ 3531474 w 4349650"/>
            <a:gd name="connsiteY22" fmla="*/ 1659733 h 1733551"/>
            <a:gd name="connsiteX23" fmla="*/ 3365454 w 4349650"/>
            <a:gd name="connsiteY23" fmla="*/ 1631159 h 1733551"/>
            <a:gd name="connsiteX24" fmla="*/ 3318020 w 4349650"/>
            <a:gd name="connsiteY24" fmla="*/ 1624015 h 1733551"/>
            <a:gd name="connsiteX25" fmla="*/ 3154372 w 4349650"/>
            <a:gd name="connsiteY25" fmla="*/ 1602584 h 1733551"/>
            <a:gd name="connsiteX26" fmla="*/ 3121169 w 4349650"/>
            <a:gd name="connsiteY26" fmla="*/ 1597821 h 1733551"/>
            <a:gd name="connsiteX27" fmla="*/ 2964635 w 4349650"/>
            <a:gd name="connsiteY27" fmla="*/ 1566865 h 1733551"/>
            <a:gd name="connsiteX28" fmla="*/ 2914829 w 4349650"/>
            <a:gd name="connsiteY28" fmla="*/ 1564484 h 1733551"/>
            <a:gd name="connsiteX29" fmla="*/ 2751181 w 4349650"/>
            <a:gd name="connsiteY29" fmla="*/ 1545434 h 1733551"/>
            <a:gd name="connsiteX30" fmla="*/ 2710862 w 4349650"/>
            <a:gd name="connsiteY30" fmla="*/ 1538290 h 1733551"/>
            <a:gd name="connsiteX31" fmla="*/ 2556702 w 4349650"/>
            <a:gd name="connsiteY31" fmla="*/ 1526384 h 1733551"/>
            <a:gd name="connsiteX32" fmla="*/ 2511639 w 4349650"/>
            <a:gd name="connsiteY32" fmla="*/ 1519240 h 1733551"/>
            <a:gd name="connsiteX33" fmla="*/ 2473692 w 4349650"/>
            <a:gd name="connsiteY33" fmla="*/ 1540671 h 1733551"/>
            <a:gd name="connsiteX34" fmla="*/ 2449973 w 4349650"/>
            <a:gd name="connsiteY34" fmla="*/ 1535909 h 1733551"/>
            <a:gd name="connsiteX35" fmla="*/ 2388310 w 4349650"/>
            <a:gd name="connsiteY35" fmla="*/ 1481140 h 1733551"/>
            <a:gd name="connsiteX36" fmla="*/ 2338504 w 4349650"/>
            <a:gd name="connsiteY36" fmla="*/ 1464471 h 1733551"/>
            <a:gd name="connsiteX37" fmla="*/ 2257866 w 4349650"/>
            <a:gd name="connsiteY37" fmla="*/ 1495428 h 1733551"/>
            <a:gd name="connsiteX38" fmla="*/ 2196202 w 4349650"/>
            <a:gd name="connsiteY38" fmla="*/ 1438277 h 1733551"/>
            <a:gd name="connsiteX39" fmla="*/ 2148427 w 4349650"/>
            <a:gd name="connsiteY39" fmla="*/ 1421607 h 1733551"/>
            <a:gd name="connsiteX40" fmla="*/ 2048194 w 4349650"/>
            <a:gd name="connsiteY40" fmla="*/ 1464470 h 1733551"/>
            <a:gd name="connsiteX41" fmla="*/ 1962291 w 4349650"/>
            <a:gd name="connsiteY41" fmla="*/ 1395414 h 1733551"/>
            <a:gd name="connsiteX42" fmla="*/ 1886299 w 4349650"/>
            <a:gd name="connsiteY42" fmla="*/ 1404939 h 1733551"/>
            <a:gd name="connsiteX43" fmla="*/ 1828758 w 4349650"/>
            <a:gd name="connsiteY43" fmla="*/ 1419227 h 1733551"/>
            <a:gd name="connsiteX44" fmla="*/ 1797754 w 4349650"/>
            <a:gd name="connsiteY44" fmla="*/ 1454947 h 1733551"/>
            <a:gd name="connsiteX45" fmla="*/ 1622248 w 4349650"/>
            <a:gd name="connsiteY45" fmla="*/ 1431134 h 1733551"/>
            <a:gd name="connsiteX46" fmla="*/ 1468087 w 4349650"/>
            <a:gd name="connsiteY46" fmla="*/ 1381126 h 1733551"/>
            <a:gd name="connsiteX47" fmla="*/ 1213101 w 4349650"/>
            <a:gd name="connsiteY47" fmla="*/ 1381127 h 1733551"/>
            <a:gd name="connsiteX48" fmla="*/ 763688 w 4349650"/>
            <a:gd name="connsiteY48" fmla="*/ 1285876 h 1733551"/>
            <a:gd name="connsiteX49" fmla="*/ 637859 w 4349650"/>
            <a:gd name="connsiteY49" fmla="*/ 1233489 h 1733551"/>
            <a:gd name="connsiteX50" fmla="*/ 404525 w 4349650"/>
            <a:gd name="connsiteY50" fmla="*/ 1216820 h 1733551"/>
            <a:gd name="connsiteX51" fmla="*/ 227685 w 4349650"/>
            <a:gd name="connsiteY51" fmla="*/ 1162052 h 1733551"/>
            <a:gd name="connsiteX52" fmla="*/ 0 w 4349650"/>
            <a:gd name="connsiteY52" fmla="*/ 1159670 h 1733551"/>
            <a:gd name="connsiteX53" fmla="*/ 15326 w 4349650"/>
            <a:gd name="connsiteY53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763901 w 4349650"/>
            <a:gd name="connsiteY20" fmla="*/ 1695452 h 1733551"/>
            <a:gd name="connsiteX21" fmla="*/ 3725953 w 4349650"/>
            <a:gd name="connsiteY21" fmla="*/ 1693071 h 1733551"/>
            <a:gd name="connsiteX22" fmla="*/ 3552819 w 4349650"/>
            <a:gd name="connsiteY22" fmla="*/ 1662115 h 1733551"/>
            <a:gd name="connsiteX23" fmla="*/ 3531474 w 4349650"/>
            <a:gd name="connsiteY23" fmla="*/ 1659733 h 1733551"/>
            <a:gd name="connsiteX24" fmla="*/ 3365454 w 4349650"/>
            <a:gd name="connsiteY24" fmla="*/ 1631159 h 1733551"/>
            <a:gd name="connsiteX25" fmla="*/ 3318020 w 4349650"/>
            <a:gd name="connsiteY25" fmla="*/ 1624015 h 1733551"/>
            <a:gd name="connsiteX26" fmla="*/ 3154372 w 4349650"/>
            <a:gd name="connsiteY26" fmla="*/ 1602584 h 1733551"/>
            <a:gd name="connsiteX27" fmla="*/ 3121169 w 4349650"/>
            <a:gd name="connsiteY27" fmla="*/ 1597821 h 1733551"/>
            <a:gd name="connsiteX28" fmla="*/ 2964635 w 4349650"/>
            <a:gd name="connsiteY28" fmla="*/ 1566865 h 1733551"/>
            <a:gd name="connsiteX29" fmla="*/ 2914829 w 4349650"/>
            <a:gd name="connsiteY29" fmla="*/ 1564484 h 1733551"/>
            <a:gd name="connsiteX30" fmla="*/ 2751181 w 4349650"/>
            <a:gd name="connsiteY30" fmla="*/ 1545434 h 1733551"/>
            <a:gd name="connsiteX31" fmla="*/ 2710862 w 4349650"/>
            <a:gd name="connsiteY31" fmla="*/ 1538290 h 1733551"/>
            <a:gd name="connsiteX32" fmla="*/ 2556702 w 4349650"/>
            <a:gd name="connsiteY32" fmla="*/ 1526384 h 1733551"/>
            <a:gd name="connsiteX33" fmla="*/ 2511639 w 4349650"/>
            <a:gd name="connsiteY33" fmla="*/ 1519240 h 1733551"/>
            <a:gd name="connsiteX34" fmla="*/ 2473692 w 4349650"/>
            <a:gd name="connsiteY34" fmla="*/ 1540671 h 1733551"/>
            <a:gd name="connsiteX35" fmla="*/ 2449973 w 4349650"/>
            <a:gd name="connsiteY35" fmla="*/ 1535909 h 1733551"/>
            <a:gd name="connsiteX36" fmla="*/ 2388310 w 4349650"/>
            <a:gd name="connsiteY36" fmla="*/ 1481140 h 1733551"/>
            <a:gd name="connsiteX37" fmla="*/ 2338504 w 4349650"/>
            <a:gd name="connsiteY37" fmla="*/ 1464471 h 1733551"/>
            <a:gd name="connsiteX38" fmla="*/ 2257866 w 4349650"/>
            <a:gd name="connsiteY38" fmla="*/ 1495428 h 1733551"/>
            <a:gd name="connsiteX39" fmla="*/ 2196202 w 4349650"/>
            <a:gd name="connsiteY39" fmla="*/ 1438277 h 1733551"/>
            <a:gd name="connsiteX40" fmla="*/ 2148427 w 4349650"/>
            <a:gd name="connsiteY40" fmla="*/ 1421607 h 1733551"/>
            <a:gd name="connsiteX41" fmla="*/ 2048194 w 4349650"/>
            <a:gd name="connsiteY41" fmla="*/ 1464470 h 1733551"/>
            <a:gd name="connsiteX42" fmla="*/ 1962291 w 4349650"/>
            <a:gd name="connsiteY42" fmla="*/ 1395414 h 1733551"/>
            <a:gd name="connsiteX43" fmla="*/ 1886299 w 4349650"/>
            <a:gd name="connsiteY43" fmla="*/ 1404939 h 1733551"/>
            <a:gd name="connsiteX44" fmla="*/ 1828758 w 4349650"/>
            <a:gd name="connsiteY44" fmla="*/ 1419227 h 1733551"/>
            <a:gd name="connsiteX45" fmla="*/ 1797754 w 4349650"/>
            <a:gd name="connsiteY45" fmla="*/ 1454947 h 1733551"/>
            <a:gd name="connsiteX46" fmla="*/ 1622248 w 4349650"/>
            <a:gd name="connsiteY46" fmla="*/ 1431134 h 1733551"/>
            <a:gd name="connsiteX47" fmla="*/ 1468087 w 4349650"/>
            <a:gd name="connsiteY47" fmla="*/ 1381126 h 1733551"/>
            <a:gd name="connsiteX48" fmla="*/ 1213101 w 4349650"/>
            <a:gd name="connsiteY48" fmla="*/ 1381127 h 1733551"/>
            <a:gd name="connsiteX49" fmla="*/ 763688 w 4349650"/>
            <a:gd name="connsiteY49" fmla="*/ 1285876 h 1733551"/>
            <a:gd name="connsiteX50" fmla="*/ 637859 w 4349650"/>
            <a:gd name="connsiteY50" fmla="*/ 1233489 h 1733551"/>
            <a:gd name="connsiteX51" fmla="*/ 404525 w 4349650"/>
            <a:gd name="connsiteY51" fmla="*/ 1216820 h 1733551"/>
            <a:gd name="connsiteX52" fmla="*/ 227685 w 4349650"/>
            <a:gd name="connsiteY52" fmla="*/ 1162052 h 1733551"/>
            <a:gd name="connsiteX53" fmla="*/ 0 w 4349650"/>
            <a:gd name="connsiteY53" fmla="*/ 1159670 h 1733551"/>
            <a:gd name="connsiteX54" fmla="*/ 15326 w 4349650"/>
            <a:gd name="connsiteY54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937035 w 4349650"/>
            <a:gd name="connsiteY20" fmla="*/ 1707359 h 1733551"/>
            <a:gd name="connsiteX21" fmla="*/ 3763901 w 4349650"/>
            <a:gd name="connsiteY21" fmla="*/ 1695452 h 1733551"/>
            <a:gd name="connsiteX22" fmla="*/ 3725953 w 4349650"/>
            <a:gd name="connsiteY22" fmla="*/ 1693071 h 1733551"/>
            <a:gd name="connsiteX23" fmla="*/ 3552819 w 4349650"/>
            <a:gd name="connsiteY23" fmla="*/ 1662115 h 1733551"/>
            <a:gd name="connsiteX24" fmla="*/ 3531474 w 4349650"/>
            <a:gd name="connsiteY24" fmla="*/ 1659733 h 1733551"/>
            <a:gd name="connsiteX25" fmla="*/ 3365454 w 4349650"/>
            <a:gd name="connsiteY25" fmla="*/ 1631159 h 1733551"/>
            <a:gd name="connsiteX26" fmla="*/ 3318020 w 4349650"/>
            <a:gd name="connsiteY26" fmla="*/ 1624015 h 1733551"/>
            <a:gd name="connsiteX27" fmla="*/ 3154372 w 4349650"/>
            <a:gd name="connsiteY27" fmla="*/ 1602584 h 1733551"/>
            <a:gd name="connsiteX28" fmla="*/ 3121169 w 4349650"/>
            <a:gd name="connsiteY28" fmla="*/ 1597821 h 1733551"/>
            <a:gd name="connsiteX29" fmla="*/ 2964635 w 4349650"/>
            <a:gd name="connsiteY29" fmla="*/ 1566865 h 1733551"/>
            <a:gd name="connsiteX30" fmla="*/ 2914829 w 4349650"/>
            <a:gd name="connsiteY30" fmla="*/ 1564484 h 1733551"/>
            <a:gd name="connsiteX31" fmla="*/ 2751181 w 4349650"/>
            <a:gd name="connsiteY31" fmla="*/ 1545434 h 1733551"/>
            <a:gd name="connsiteX32" fmla="*/ 2710862 w 4349650"/>
            <a:gd name="connsiteY32" fmla="*/ 1538290 h 1733551"/>
            <a:gd name="connsiteX33" fmla="*/ 2556702 w 4349650"/>
            <a:gd name="connsiteY33" fmla="*/ 1526384 h 1733551"/>
            <a:gd name="connsiteX34" fmla="*/ 2511639 w 4349650"/>
            <a:gd name="connsiteY34" fmla="*/ 1519240 h 1733551"/>
            <a:gd name="connsiteX35" fmla="*/ 2473692 w 4349650"/>
            <a:gd name="connsiteY35" fmla="*/ 1540671 h 1733551"/>
            <a:gd name="connsiteX36" fmla="*/ 2449973 w 4349650"/>
            <a:gd name="connsiteY36" fmla="*/ 1535909 h 1733551"/>
            <a:gd name="connsiteX37" fmla="*/ 2388310 w 4349650"/>
            <a:gd name="connsiteY37" fmla="*/ 1481140 h 1733551"/>
            <a:gd name="connsiteX38" fmla="*/ 2338504 w 4349650"/>
            <a:gd name="connsiteY38" fmla="*/ 1464471 h 1733551"/>
            <a:gd name="connsiteX39" fmla="*/ 2257866 w 4349650"/>
            <a:gd name="connsiteY39" fmla="*/ 1495428 h 1733551"/>
            <a:gd name="connsiteX40" fmla="*/ 2196202 w 4349650"/>
            <a:gd name="connsiteY40" fmla="*/ 1438277 h 1733551"/>
            <a:gd name="connsiteX41" fmla="*/ 2148427 w 4349650"/>
            <a:gd name="connsiteY41" fmla="*/ 1421607 h 1733551"/>
            <a:gd name="connsiteX42" fmla="*/ 2048194 w 4349650"/>
            <a:gd name="connsiteY42" fmla="*/ 1464470 h 1733551"/>
            <a:gd name="connsiteX43" fmla="*/ 1962291 w 4349650"/>
            <a:gd name="connsiteY43" fmla="*/ 1395414 h 1733551"/>
            <a:gd name="connsiteX44" fmla="*/ 1886299 w 4349650"/>
            <a:gd name="connsiteY44" fmla="*/ 1404939 h 1733551"/>
            <a:gd name="connsiteX45" fmla="*/ 1828758 w 4349650"/>
            <a:gd name="connsiteY45" fmla="*/ 1419227 h 1733551"/>
            <a:gd name="connsiteX46" fmla="*/ 1797754 w 4349650"/>
            <a:gd name="connsiteY46" fmla="*/ 1454947 h 1733551"/>
            <a:gd name="connsiteX47" fmla="*/ 1622248 w 4349650"/>
            <a:gd name="connsiteY47" fmla="*/ 1431134 h 1733551"/>
            <a:gd name="connsiteX48" fmla="*/ 1468087 w 4349650"/>
            <a:gd name="connsiteY48" fmla="*/ 1381126 h 1733551"/>
            <a:gd name="connsiteX49" fmla="*/ 1213101 w 4349650"/>
            <a:gd name="connsiteY49" fmla="*/ 1381127 h 1733551"/>
            <a:gd name="connsiteX50" fmla="*/ 763688 w 4349650"/>
            <a:gd name="connsiteY50" fmla="*/ 1285876 h 1733551"/>
            <a:gd name="connsiteX51" fmla="*/ 637859 w 4349650"/>
            <a:gd name="connsiteY51" fmla="*/ 1233489 h 1733551"/>
            <a:gd name="connsiteX52" fmla="*/ 404525 w 4349650"/>
            <a:gd name="connsiteY52" fmla="*/ 1216820 h 1733551"/>
            <a:gd name="connsiteX53" fmla="*/ 227685 w 4349650"/>
            <a:gd name="connsiteY53" fmla="*/ 1162052 h 1733551"/>
            <a:gd name="connsiteX54" fmla="*/ 0 w 4349650"/>
            <a:gd name="connsiteY54" fmla="*/ 1159670 h 1733551"/>
            <a:gd name="connsiteX55" fmla="*/ 15326 w 4349650"/>
            <a:gd name="connsiteY55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929919 w 4349650"/>
            <a:gd name="connsiteY20" fmla="*/ 1724027 h 1733551"/>
            <a:gd name="connsiteX21" fmla="*/ 3763901 w 4349650"/>
            <a:gd name="connsiteY21" fmla="*/ 1695452 h 1733551"/>
            <a:gd name="connsiteX22" fmla="*/ 3725953 w 4349650"/>
            <a:gd name="connsiteY22" fmla="*/ 1693071 h 1733551"/>
            <a:gd name="connsiteX23" fmla="*/ 3552819 w 4349650"/>
            <a:gd name="connsiteY23" fmla="*/ 1662115 h 1733551"/>
            <a:gd name="connsiteX24" fmla="*/ 3531474 w 4349650"/>
            <a:gd name="connsiteY24" fmla="*/ 1659733 h 1733551"/>
            <a:gd name="connsiteX25" fmla="*/ 3365454 w 4349650"/>
            <a:gd name="connsiteY25" fmla="*/ 1631159 h 1733551"/>
            <a:gd name="connsiteX26" fmla="*/ 3318020 w 4349650"/>
            <a:gd name="connsiteY26" fmla="*/ 1624015 h 1733551"/>
            <a:gd name="connsiteX27" fmla="*/ 3154372 w 4349650"/>
            <a:gd name="connsiteY27" fmla="*/ 1602584 h 1733551"/>
            <a:gd name="connsiteX28" fmla="*/ 3121169 w 4349650"/>
            <a:gd name="connsiteY28" fmla="*/ 1597821 h 1733551"/>
            <a:gd name="connsiteX29" fmla="*/ 2964635 w 4349650"/>
            <a:gd name="connsiteY29" fmla="*/ 1566865 h 1733551"/>
            <a:gd name="connsiteX30" fmla="*/ 2914829 w 4349650"/>
            <a:gd name="connsiteY30" fmla="*/ 1564484 h 1733551"/>
            <a:gd name="connsiteX31" fmla="*/ 2751181 w 4349650"/>
            <a:gd name="connsiteY31" fmla="*/ 1545434 h 1733551"/>
            <a:gd name="connsiteX32" fmla="*/ 2710862 w 4349650"/>
            <a:gd name="connsiteY32" fmla="*/ 1538290 h 1733551"/>
            <a:gd name="connsiteX33" fmla="*/ 2556702 w 4349650"/>
            <a:gd name="connsiteY33" fmla="*/ 1526384 h 1733551"/>
            <a:gd name="connsiteX34" fmla="*/ 2511639 w 4349650"/>
            <a:gd name="connsiteY34" fmla="*/ 1519240 h 1733551"/>
            <a:gd name="connsiteX35" fmla="*/ 2473692 w 4349650"/>
            <a:gd name="connsiteY35" fmla="*/ 1540671 h 1733551"/>
            <a:gd name="connsiteX36" fmla="*/ 2449973 w 4349650"/>
            <a:gd name="connsiteY36" fmla="*/ 1535909 h 1733551"/>
            <a:gd name="connsiteX37" fmla="*/ 2388310 w 4349650"/>
            <a:gd name="connsiteY37" fmla="*/ 1481140 h 1733551"/>
            <a:gd name="connsiteX38" fmla="*/ 2338504 w 4349650"/>
            <a:gd name="connsiteY38" fmla="*/ 1464471 h 1733551"/>
            <a:gd name="connsiteX39" fmla="*/ 2257866 w 4349650"/>
            <a:gd name="connsiteY39" fmla="*/ 1495428 h 1733551"/>
            <a:gd name="connsiteX40" fmla="*/ 2196202 w 4349650"/>
            <a:gd name="connsiteY40" fmla="*/ 1438277 h 1733551"/>
            <a:gd name="connsiteX41" fmla="*/ 2148427 w 4349650"/>
            <a:gd name="connsiteY41" fmla="*/ 1421607 h 1733551"/>
            <a:gd name="connsiteX42" fmla="*/ 2048194 w 4349650"/>
            <a:gd name="connsiteY42" fmla="*/ 1464470 h 1733551"/>
            <a:gd name="connsiteX43" fmla="*/ 1962291 w 4349650"/>
            <a:gd name="connsiteY43" fmla="*/ 1395414 h 1733551"/>
            <a:gd name="connsiteX44" fmla="*/ 1886299 w 4349650"/>
            <a:gd name="connsiteY44" fmla="*/ 1404939 h 1733551"/>
            <a:gd name="connsiteX45" fmla="*/ 1828758 w 4349650"/>
            <a:gd name="connsiteY45" fmla="*/ 1419227 h 1733551"/>
            <a:gd name="connsiteX46" fmla="*/ 1797754 w 4349650"/>
            <a:gd name="connsiteY46" fmla="*/ 1454947 h 1733551"/>
            <a:gd name="connsiteX47" fmla="*/ 1622248 w 4349650"/>
            <a:gd name="connsiteY47" fmla="*/ 1431134 h 1733551"/>
            <a:gd name="connsiteX48" fmla="*/ 1468087 w 4349650"/>
            <a:gd name="connsiteY48" fmla="*/ 1381126 h 1733551"/>
            <a:gd name="connsiteX49" fmla="*/ 1213101 w 4349650"/>
            <a:gd name="connsiteY49" fmla="*/ 1381127 h 1733551"/>
            <a:gd name="connsiteX50" fmla="*/ 763688 w 4349650"/>
            <a:gd name="connsiteY50" fmla="*/ 1285876 h 1733551"/>
            <a:gd name="connsiteX51" fmla="*/ 637859 w 4349650"/>
            <a:gd name="connsiteY51" fmla="*/ 1233489 h 1733551"/>
            <a:gd name="connsiteX52" fmla="*/ 404525 w 4349650"/>
            <a:gd name="connsiteY52" fmla="*/ 1216820 h 1733551"/>
            <a:gd name="connsiteX53" fmla="*/ 227685 w 4349650"/>
            <a:gd name="connsiteY53" fmla="*/ 1162052 h 1733551"/>
            <a:gd name="connsiteX54" fmla="*/ 0 w 4349650"/>
            <a:gd name="connsiteY54" fmla="*/ 1159670 h 1733551"/>
            <a:gd name="connsiteX55" fmla="*/ 15326 w 4349650"/>
            <a:gd name="connsiteY55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3965496 w 4349650"/>
            <a:gd name="connsiteY20" fmla="*/ 1728790 h 1733551"/>
            <a:gd name="connsiteX21" fmla="*/ 3929919 w 4349650"/>
            <a:gd name="connsiteY21" fmla="*/ 1724027 h 1733551"/>
            <a:gd name="connsiteX22" fmla="*/ 3763901 w 4349650"/>
            <a:gd name="connsiteY22" fmla="*/ 1695452 h 1733551"/>
            <a:gd name="connsiteX23" fmla="*/ 3725953 w 4349650"/>
            <a:gd name="connsiteY23" fmla="*/ 1693071 h 1733551"/>
            <a:gd name="connsiteX24" fmla="*/ 3552819 w 4349650"/>
            <a:gd name="connsiteY24" fmla="*/ 1662115 h 1733551"/>
            <a:gd name="connsiteX25" fmla="*/ 3531474 w 4349650"/>
            <a:gd name="connsiteY25" fmla="*/ 1659733 h 1733551"/>
            <a:gd name="connsiteX26" fmla="*/ 3365454 w 4349650"/>
            <a:gd name="connsiteY26" fmla="*/ 1631159 h 1733551"/>
            <a:gd name="connsiteX27" fmla="*/ 3318020 w 4349650"/>
            <a:gd name="connsiteY27" fmla="*/ 1624015 h 1733551"/>
            <a:gd name="connsiteX28" fmla="*/ 3154372 w 4349650"/>
            <a:gd name="connsiteY28" fmla="*/ 1602584 h 1733551"/>
            <a:gd name="connsiteX29" fmla="*/ 3121169 w 4349650"/>
            <a:gd name="connsiteY29" fmla="*/ 1597821 h 1733551"/>
            <a:gd name="connsiteX30" fmla="*/ 2964635 w 4349650"/>
            <a:gd name="connsiteY30" fmla="*/ 1566865 h 1733551"/>
            <a:gd name="connsiteX31" fmla="*/ 2914829 w 4349650"/>
            <a:gd name="connsiteY31" fmla="*/ 1564484 h 1733551"/>
            <a:gd name="connsiteX32" fmla="*/ 2751181 w 4349650"/>
            <a:gd name="connsiteY32" fmla="*/ 1545434 h 1733551"/>
            <a:gd name="connsiteX33" fmla="*/ 2710862 w 4349650"/>
            <a:gd name="connsiteY33" fmla="*/ 1538290 h 1733551"/>
            <a:gd name="connsiteX34" fmla="*/ 2556702 w 4349650"/>
            <a:gd name="connsiteY34" fmla="*/ 1526384 h 1733551"/>
            <a:gd name="connsiteX35" fmla="*/ 2511639 w 4349650"/>
            <a:gd name="connsiteY35" fmla="*/ 1519240 h 1733551"/>
            <a:gd name="connsiteX36" fmla="*/ 2473692 w 4349650"/>
            <a:gd name="connsiteY36" fmla="*/ 1540671 h 1733551"/>
            <a:gd name="connsiteX37" fmla="*/ 2449973 w 4349650"/>
            <a:gd name="connsiteY37" fmla="*/ 1535909 h 1733551"/>
            <a:gd name="connsiteX38" fmla="*/ 2388310 w 4349650"/>
            <a:gd name="connsiteY38" fmla="*/ 1481140 h 1733551"/>
            <a:gd name="connsiteX39" fmla="*/ 2338504 w 4349650"/>
            <a:gd name="connsiteY39" fmla="*/ 1464471 h 1733551"/>
            <a:gd name="connsiteX40" fmla="*/ 2257866 w 4349650"/>
            <a:gd name="connsiteY40" fmla="*/ 1495428 h 1733551"/>
            <a:gd name="connsiteX41" fmla="*/ 2196202 w 4349650"/>
            <a:gd name="connsiteY41" fmla="*/ 1438277 h 1733551"/>
            <a:gd name="connsiteX42" fmla="*/ 2148427 w 4349650"/>
            <a:gd name="connsiteY42" fmla="*/ 1421607 h 1733551"/>
            <a:gd name="connsiteX43" fmla="*/ 2048194 w 4349650"/>
            <a:gd name="connsiteY43" fmla="*/ 1464470 h 1733551"/>
            <a:gd name="connsiteX44" fmla="*/ 1962291 w 4349650"/>
            <a:gd name="connsiteY44" fmla="*/ 1395414 h 1733551"/>
            <a:gd name="connsiteX45" fmla="*/ 1886299 w 4349650"/>
            <a:gd name="connsiteY45" fmla="*/ 1404939 h 1733551"/>
            <a:gd name="connsiteX46" fmla="*/ 1828758 w 4349650"/>
            <a:gd name="connsiteY46" fmla="*/ 1419227 h 1733551"/>
            <a:gd name="connsiteX47" fmla="*/ 1797754 w 4349650"/>
            <a:gd name="connsiteY47" fmla="*/ 1454947 h 1733551"/>
            <a:gd name="connsiteX48" fmla="*/ 1622248 w 4349650"/>
            <a:gd name="connsiteY48" fmla="*/ 1431134 h 1733551"/>
            <a:gd name="connsiteX49" fmla="*/ 1468087 w 4349650"/>
            <a:gd name="connsiteY49" fmla="*/ 1381126 h 1733551"/>
            <a:gd name="connsiteX50" fmla="*/ 1213101 w 4349650"/>
            <a:gd name="connsiteY50" fmla="*/ 1381127 h 1733551"/>
            <a:gd name="connsiteX51" fmla="*/ 763688 w 4349650"/>
            <a:gd name="connsiteY51" fmla="*/ 1285876 h 1733551"/>
            <a:gd name="connsiteX52" fmla="*/ 637859 w 4349650"/>
            <a:gd name="connsiteY52" fmla="*/ 1233489 h 1733551"/>
            <a:gd name="connsiteX53" fmla="*/ 404525 w 4349650"/>
            <a:gd name="connsiteY53" fmla="*/ 1216820 h 1733551"/>
            <a:gd name="connsiteX54" fmla="*/ 227685 w 4349650"/>
            <a:gd name="connsiteY54" fmla="*/ 1162052 h 1733551"/>
            <a:gd name="connsiteX55" fmla="*/ 0 w 4349650"/>
            <a:gd name="connsiteY55" fmla="*/ 1159670 h 1733551"/>
            <a:gd name="connsiteX56" fmla="*/ 15326 w 4349650"/>
            <a:gd name="connsiteY56" fmla="*/ 0 h 1733551"/>
            <a:gd name="connsiteX0" fmla="*/ 15326 w 4349650"/>
            <a:gd name="connsiteY0" fmla="*/ 0 h 1733551"/>
            <a:gd name="connsiteX1" fmla="*/ 3971371 w 4349650"/>
            <a:gd name="connsiteY1" fmla="*/ 33339 h 1733551"/>
            <a:gd name="connsiteX2" fmla="*/ 2970817 w 4349650"/>
            <a:gd name="connsiteY2" fmla="*/ 666752 h 1733551"/>
            <a:gd name="connsiteX3" fmla="*/ 2146676 w 4349650"/>
            <a:gd name="connsiteY3" fmla="*/ 533400 h 1733551"/>
            <a:gd name="connsiteX4" fmla="*/ 2060864 w 4349650"/>
            <a:gd name="connsiteY4" fmla="*/ 500063 h 1733551"/>
            <a:gd name="connsiteX5" fmla="*/ 2046874 w 4349650"/>
            <a:gd name="connsiteY5" fmla="*/ 559595 h 1733551"/>
            <a:gd name="connsiteX6" fmla="*/ 2148769 w 4349650"/>
            <a:gd name="connsiteY6" fmla="*/ 673896 h 1733551"/>
            <a:gd name="connsiteX7" fmla="*/ 2231777 w 4349650"/>
            <a:gd name="connsiteY7" fmla="*/ 728664 h 1733551"/>
            <a:gd name="connsiteX8" fmla="*/ 2359851 w 4349650"/>
            <a:gd name="connsiteY8" fmla="*/ 802484 h 1733551"/>
            <a:gd name="connsiteX9" fmla="*/ 2729836 w 4349650"/>
            <a:gd name="connsiteY9" fmla="*/ 966788 h 1733551"/>
            <a:gd name="connsiteX10" fmla="*/ 2917200 w 4349650"/>
            <a:gd name="connsiteY10" fmla="*/ 1031082 h 1733551"/>
            <a:gd name="connsiteX11" fmla="*/ 2997838 w 4349650"/>
            <a:gd name="connsiteY11" fmla="*/ 1052513 h 1733551"/>
            <a:gd name="connsiteX12" fmla="*/ 3080849 w 4349650"/>
            <a:gd name="connsiteY12" fmla="*/ 1078706 h 1733551"/>
            <a:gd name="connsiteX13" fmla="*/ 3211293 w 4349650"/>
            <a:gd name="connsiteY13" fmla="*/ 1088231 h 1733551"/>
            <a:gd name="connsiteX14" fmla="*/ 3325134 w 4349650"/>
            <a:gd name="connsiteY14" fmla="*/ 1107281 h 1733551"/>
            <a:gd name="connsiteX15" fmla="*/ 4124399 w 4349650"/>
            <a:gd name="connsiteY15" fmla="*/ 1252537 h 1733551"/>
            <a:gd name="connsiteX16" fmla="*/ 3744927 w 4349650"/>
            <a:gd name="connsiteY16" fmla="*/ 1183481 h 1733551"/>
            <a:gd name="connsiteX17" fmla="*/ 4122028 w 4349650"/>
            <a:gd name="connsiteY17" fmla="*/ 1247775 h 1733551"/>
            <a:gd name="connsiteX18" fmla="*/ 4344971 w 4349650"/>
            <a:gd name="connsiteY18" fmla="*/ 1326358 h 1733551"/>
            <a:gd name="connsiteX19" fmla="*/ 4347246 w 4349650"/>
            <a:gd name="connsiteY19" fmla="*/ 1733551 h 1733551"/>
            <a:gd name="connsiteX20" fmla="*/ 4122029 w 4349650"/>
            <a:gd name="connsiteY20" fmla="*/ 1731171 h 1733551"/>
            <a:gd name="connsiteX21" fmla="*/ 3965496 w 4349650"/>
            <a:gd name="connsiteY21" fmla="*/ 1728790 h 1733551"/>
            <a:gd name="connsiteX22" fmla="*/ 3929919 w 4349650"/>
            <a:gd name="connsiteY22" fmla="*/ 1724027 h 1733551"/>
            <a:gd name="connsiteX23" fmla="*/ 3763901 w 4349650"/>
            <a:gd name="connsiteY23" fmla="*/ 1695452 h 1733551"/>
            <a:gd name="connsiteX24" fmla="*/ 3725953 w 4349650"/>
            <a:gd name="connsiteY24" fmla="*/ 1693071 h 1733551"/>
            <a:gd name="connsiteX25" fmla="*/ 3552819 w 4349650"/>
            <a:gd name="connsiteY25" fmla="*/ 1662115 h 1733551"/>
            <a:gd name="connsiteX26" fmla="*/ 3531474 w 4349650"/>
            <a:gd name="connsiteY26" fmla="*/ 1659733 h 1733551"/>
            <a:gd name="connsiteX27" fmla="*/ 3365454 w 4349650"/>
            <a:gd name="connsiteY27" fmla="*/ 1631159 h 1733551"/>
            <a:gd name="connsiteX28" fmla="*/ 3318020 w 4349650"/>
            <a:gd name="connsiteY28" fmla="*/ 1624015 h 1733551"/>
            <a:gd name="connsiteX29" fmla="*/ 3154372 w 4349650"/>
            <a:gd name="connsiteY29" fmla="*/ 1602584 h 1733551"/>
            <a:gd name="connsiteX30" fmla="*/ 3121169 w 4349650"/>
            <a:gd name="connsiteY30" fmla="*/ 1597821 h 1733551"/>
            <a:gd name="connsiteX31" fmla="*/ 2964635 w 4349650"/>
            <a:gd name="connsiteY31" fmla="*/ 1566865 h 1733551"/>
            <a:gd name="connsiteX32" fmla="*/ 2914829 w 4349650"/>
            <a:gd name="connsiteY32" fmla="*/ 1564484 h 1733551"/>
            <a:gd name="connsiteX33" fmla="*/ 2751181 w 4349650"/>
            <a:gd name="connsiteY33" fmla="*/ 1545434 h 1733551"/>
            <a:gd name="connsiteX34" fmla="*/ 2710862 w 4349650"/>
            <a:gd name="connsiteY34" fmla="*/ 1538290 h 1733551"/>
            <a:gd name="connsiteX35" fmla="*/ 2556702 w 4349650"/>
            <a:gd name="connsiteY35" fmla="*/ 1526384 h 1733551"/>
            <a:gd name="connsiteX36" fmla="*/ 2511639 w 4349650"/>
            <a:gd name="connsiteY36" fmla="*/ 1519240 h 1733551"/>
            <a:gd name="connsiteX37" fmla="*/ 2473692 w 4349650"/>
            <a:gd name="connsiteY37" fmla="*/ 1540671 h 1733551"/>
            <a:gd name="connsiteX38" fmla="*/ 2449973 w 4349650"/>
            <a:gd name="connsiteY38" fmla="*/ 1535909 h 1733551"/>
            <a:gd name="connsiteX39" fmla="*/ 2388310 w 4349650"/>
            <a:gd name="connsiteY39" fmla="*/ 1481140 h 1733551"/>
            <a:gd name="connsiteX40" fmla="*/ 2338504 w 4349650"/>
            <a:gd name="connsiteY40" fmla="*/ 1464471 h 1733551"/>
            <a:gd name="connsiteX41" fmla="*/ 2257866 w 4349650"/>
            <a:gd name="connsiteY41" fmla="*/ 1495428 h 1733551"/>
            <a:gd name="connsiteX42" fmla="*/ 2196202 w 4349650"/>
            <a:gd name="connsiteY42" fmla="*/ 1438277 h 1733551"/>
            <a:gd name="connsiteX43" fmla="*/ 2148427 w 4349650"/>
            <a:gd name="connsiteY43" fmla="*/ 1421607 h 1733551"/>
            <a:gd name="connsiteX44" fmla="*/ 2048194 w 4349650"/>
            <a:gd name="connsiteY44" fmla="*/ 1464470 h 1733551"/>
            <a:gd name="connsiteX45" fmla="*/ 1962291 w 4349650"/>
            <a:gd name="connsiteY45" fmla="*/ 1395414 h 1733551"/>
            <a:gd name="connsiteX46" fmla="*/ 1886299 w 4349650"/>
            <a:gd name="connsiteY46" fmla="*/ 1404939 h 1733551"/>
            <a:gd name="connsiteX47" fmla="*/ 1828758 w 4349650"/>
            <a:gd name="connsiteY47" fmla="*/ 1419227 h 1733551"/>
            <a:gd name="connsiteX48" fmla="*/ 1797754 w 4349650"/>
            <a:gd name="connsiteY48" fmla="*/ 1454947 h 1733551"/>
            <a:gd name="connsiteX49" fmla="*/ 1622248 w 4349650"/>
            <a:gd name="connsiteY49" fmla="*/ 1431134 h 1733551"/>
            <a:gd name="connsiteX50" fmla="*/ 1468087 w 4349650"/>
            <a:gd name="connsiteY50" fmla="*/ 1381126 h 1733551"/>
            <a:gd name="connsiteX51" fmla="*/ 1213101 w 4349650"/>
            <a:gd name="connsiteY51" fmla="*/ 1381127 h 1733551"/>
            <a:gd name="connsiteX52" fmla="*/ 763688 w 4349650"/>
            <a:gd name="connsiteY52" fmla="*/ 1285876 h 1733551"/>
            <a:gd name="connsiteX53" fmla="*/ 637859 w 4349650"/>
            <a:gd name="connsiteY53" fmla="*/ 1233489 h 1733551"/>
            <a:gd name="connsiteX54" fmla="*/ 404525 w 4349650"/>
            <a:gd name="connsiteY54" fmla="*/ 1216820 h 1733551"/>
            <a:gd name="connsiteX55" fmla="*/ 227685 w 4349650"/>
            <a:gd name="connsiteY55" fmla="*/ 1162052 h 1733551"/>
            <a:gd name="connsiteX56" fmla="*/ 0 w 4349650"/>
            <a:gd name="connsiteY56" fmla="*/ 1159670 h 1733551"/>
            <a:gd name="connsiteX57" fmla="*/ 15326 w 4349650"/>
            <a:gd name="connsiteY57" fmla="*/ 0 h 1733551"/>
            <a:gd name="connsiteX0" fmla="*/ 15326 w 4349650"/>
            <a:gd name="connsiteY0" fmla="*/ 0 h 1764509"/>
            <a:gd name="connsiteX1" fmla="*/ 3971371 w 4349650"/>
            <a:gd name="connsiteY1" fmla="*/ 33339 h 1764509"/>
            <a:gd name="connsiteX2" fmla="*/ 2970817 w 4349650"/>
            <a:gd name="connsiteY2" fmla="*/ 666752 h 1764509"/>
            <a:gd name="connsiteX3" fmla="*/ 2146676 w 4349650"/>
            <a:gd name="connsiteY3" fmla="*/ 533400 h 1764509"/>
            <a:gd name="connsiteX4" fmla="*/ 2060864 w 4349650"/>
            <a:gd name="connsiteY4" fmla="*/ 500063 h 1764509"/>
            <a:gd name="connsiteX5" fmla="*/ 2046874 w 4349650"/>
            <a:gd name="connsiteY5" fmla="*/ 559595 h 1764509"/>
            <a:gd name="connsiteX6" fmla="*/ 2148769 w 4349650"/>
            <a:gd name="connsiteY6" fmla="*/ 673896 h 1764509"/>
            <a:gd name="connsiteX7" fmla="*/ 2231777 w 4349650"/>
            <a:gd name="connsiteY7" fmla="*/ 728664 h 1764509"/>
            <a:gd name="connsiteX8" fmla="*/ 2359851 w 4349650"/>
            <a:gd name="connsiteY8" fmla="*/ 802484 h 1764509"/>
            <a:gd name="connsiteX9" fmla="*/ 2729836 w 4349650"/>
            <a:gd name="connsiteY9" fmla="*/ 966788 h 1764509"/>
            <a:gd name="connsiteX10" fmla="*/ 2917200 w 4349650"/>
            <a:gd name="connsiteY10" fmla="*/ 1031082 h 1764509"/>
            <a:gd name="connsiteX11" fmla="*/ 2997838 w 4349650"/>
            <a:gd name="connsiteY11" fmla="*/ 1052513 h 1764509"/>
            <a:gd name="connsiteX12" fmla="*/ 3080849 w 4349650"/>
            <a:gd name="connsiteY12" fmla="*/ 1078706 h 1764509"/>
            <a:gd name="connsiteX13" fmla="*/ 3211293 w 4349650"/>
            <a:gd name="connsiteY13" fmla="*/ 1088231 h 1764509"/>
            <a:gd name="connsiteX14" fmla="*/ 3325134 w 4349650"/>
            <a:gd name="connsiteY14" fmla="*/ 1107281 h 1764509"/>
            <a:gd name="connsiteX15" fmla="*/ 4124399 w 4349650"/>
            <a:gd name="connsiteY15" fmla="*/ 1252537 h 1764509"/>
            <a:gd name="connsiteX16" fmla="*/ 3744927 w 4349650"/>
            <a:gd name="connsiteY16" fmla="*/ 1183481 h 1764509"/>
            <a:gd name="connsiteX17" fmla="*/ 4122028 w 4349650"/>
            <a:gd name="connsiteY17" fmla="*/ 1247775 h 1764509"/>
            <a:gd name="connsiteX18" fmla="*/ 4344971 w 4349650"/>
            <a:gd name="connsiteY18" fmla="*/ 1326358 h 1764509"/>
            <a:gd name="connsiteX19" fmla="*/ 4347246 w 4349650"/>
            <a:gd name="connsiteY19" fmla="*/ 1733551 h 1764509"/>
            <a:gd name="connsiteX20" fmla="*/ 4122030 w 4349650"/>
            <a:gd name="connsiteY20" fmla="*/ 1764509 h 1764509"/>
            <a:gd name="connsiteX21" fmla="*/ 3965496 w 4349650"/>
            <a:gd name="connsiteY21" fmla="*/ 1728790 h 1764509"/>
            <a:gd name="connsiteX22" fmla="*/ 3929919 w 4349650"/>
            <a:gd name="connsiteY22" fmla="*/ 1724027 h 1764509"/>
            <a:gd name="connsiteX23" fmla="*/ 3763901 w 4349650"/>
            <a:gd name="connsiteY23" fmla="*/ 1695452 h 1764509"/>
            <a:gd name="connsiteX24" fmla="*/ 3725953 w 4349650"/>
            <a:gd name="connsiteY24" fmla="*/ 1693071 h 1764509"/>
            <a:gd name="connsiteX25" fmla="*/ 3552819 w 4349650"/>
            <a:gd name="connsiteY25" fmla="*/ 1662115 h 1764509"/>
            <a:gd name="connsiteX26" fmla="*/ 3531474 w 4349650"/>
            <a:gd name="connsiteY26" fmla="*/ 1659733 h 1764509"/>
            <a:gd name="connsiteX27" fmla="*/ 3365454 w 4349650"/>
            <a:gd name="connsiteY27" fmla="*/ 1631159 h 1764509"/>
            <a:gd name="connsiteX28" fmla="*/ 3318020 w 4349650"/>
            <a:gd name="connsiteY28" fmla="*/ 1624015 h 1764509"/>
            <a:gd name="connsiteX29" fmla="*/ 3154372 w 4349650"/>
            <a:gd name="connsiteY29" fmla="*/ 1602584 h 1764509"/>
            <a:gd name="connsiteX30" fmla="*/ 3121169 w 4349650"/>
            <a:gd name="connsiteY30" fmla="*/ 1597821 h 1764509"/>
            <a:gd name="connsiteX31" fmla="*/ 2964635 w 4349650"/>
            <a:gd name="connsiteY31" fmla="*/ 1566865 h 1764509"/>
            <a:gd name="connsiteX32" fmla="*/ 2914829 w 4349650"/>
            <a:gd name="connsiteY32" fmla="*/ 1564484 h 1764509"/>
            <a:gd name="connsiteX33" fmla="*/ 2751181 w 4349650"/>
            <a:gd name="connsiteY33" fmla="*/ 1545434 h 1764509"/>
            <a:gd name="connsiteX34" fmla="*/ 2710862 w 4349650"/>
            <a:gd name="connsiteY34" fmla="*/ 1538290 h 1764509"/>
            <a:gd name="connsiteX35" fmla="*/ 2556702 w 4349650"/>
            <a:gd name="connsiteY35" fmla="*/ 1526384 h 1764509"/>
            <a:gd name="connsiteX36" fmla="*/ 2511639 w 4349650"/>
            <a:gd name="connsiteY36" fmla="*/ 1519240 h 1764509"/>
            <a:gd name="connsiteX37" fmla="*/ 2473692 w 4349650"/>
            <a:gd name="connsiteY37" fmla="*/ 1540671 h 1764509"/>
            <a:gd name="connsiteX38" fmla="*/ 2449973 w 4349650"/>
            <a:gd name="connsiteY38" fmla="*/ 1535909 h 1764509"/>
            <a:gd name="connsiteX39" fmla="*/ 2388310 w 4349650"/>
            <a:gd name="connsiteY39" fmla="*/ 1481140 h 1764509"/>
            <a:gd name="connsiteX40" fmla="*/ 2338504 w 4349650"/>
            <a:gd name="connsiteY40" fmla="*/ 1464471 h 1764509"/>
            <a:gd name="connsiteX41" fmla="*/ 2257866 w 4349650"/>
            <a:gd name="connsiteY41" fmla="*/ 1495428 h 1764509"/>
            <a:gd name="connsiteX42" fmla="*/ 2196202 w 4349650"/>
            <a:gd name="connsiteY42" fmla="*/ 1438277 h 1764509"/>
            <a:gd name="connsiteX43" fmla="*/ 2148427 w 4349650"/>
            <a:gd name="connsiteY43" fmla="*/ 1421607 h 1764509"/>
            <a:gd name="connsiteX44" fmla="*/ 2048194 w 4349650"/>
            <a:gd name="connsiteY44" fmla="*/ 1464470 h 1764509"/>
            <a:gd name="connsiteX45" fmla="*/ 1962291 w 4349650"/>
            <a:gd name="connsiteY45" fmla="*/ 1395414 h 1764509"/>
            <a:gd name="connsiteX46" fmla="*/ 1886299 w 4349650"/>
            <a:gd name="connsiteY46" fmla="*/ 1404939 h 1764509"/>
            <a:gd name="connsiteX47" fmla="*/ 1828758 w 4349650"/>
            <a:gd name="connsiteY47" fmla="*/ 1419227 h 1764509"/>
            <a:gd name="connsiteX48" fmla="*/ 1797754 w 4349650"/>
            <a:gd name="connsiteY48" fmla="*/ 1454947 h 1764509"/>
            <a:gd name="connsiteX49" fmla="*/ 1622248 w 4349650"/>
            <a:gd name="connsiteY49" fmla="*/ 1431134 h 1764509"/>
            <a:gd name="connsiteX50" fmla="*/ 1468087 w 4349650"/>
            <a:gd name="connsiteY50" fmla="*/ 1381126 h 1764509"/>
            <a:gd name="connsiteX51" fmla="*/ 1213101 w 4349650"/>
            <a:gd name="connsiteY51" fmla="*/ 1381127 h 1764509"/>
            <a:gd name="connsiteX52" fmla="*/ 763688 w 4349650"/>
            <a:gd name="connsiteY52" fmla="*/ 1285876 h 1764509"/>
            <a:gd name="connsiteX53" fmla="*/ 637859 w 4349650"/>
            <a:gd name="connsiteY53" fmla="*/ 1233489 h 1764509"/>
            <a:gd name="connsiteX54" fmla="*/ 404525 w 4349650"/>
            <a:gd name="connsiteY54" fmla="*/ 1216820 h 1764509"/>
            <a:gd name="connsiteX55" fmla="*/ 227685 w 4349650"/>
            <a:gd name="connsiteY55" fmla="*/ 1162052 h 1764509"/>
            <a:gd name="connsiteX56" fmla="*/ 0 w 4349650"/>
            <a:gd name="connsiteY56" fmla="*/ 1159670 h 1764509"/>
            <a:gd name="connsiteX57" fmla="*/ 15326 w 4349650"/>
            <a:gd name="connsiteY57" fmla="*/ 0 h 1764509"/>
            <a:gd name="connsiteX0" fmla="*/ 15326 w 4349650"/>
            <a:gd name="connsiteY0" fmla="*/ 0 h 1764509"/>
            <a:gd name="connsiteX1" fmla="*/ 3971371 w 4349650"/>
            <a:gd name="connsiteY1" fmla="*/ 33339 h 1764509"/>
            <a:gd name="connsiteX2" fmla="*/ 2970817 w 4349650"/>
            <a:gd name="connsiteY2" fmla="*/ 666752 h 1764509"/>
            <a:gd name="connsiteX3" fmla="*/ 2146676 w 4349650"/>
            <a:gd name="connsiteY3" fmla="*/ 533400 h 1764509"/>
            <a:gd name="connsiteX4" fmla="*/ 2060864 w 4349650"/>
            <a:gd name="connsiteY4" fmla="*/ 500063 h 1764509"/>
            <a:gd name="connsiteX5" fmla="*/ 2046874 w 4349650"/>
            <a:gd name="connsiteY5" fmla="*/ 559595 h 1764509"/>
            <a:gd name="connsiteX6" fmla="*/ 2148769 w 4349650"/>
            <a:gd name="connsiteY6" fmla="*/ 673896 h 1764509"/>
            <a:gd name="connsiteX7" fmla="*/ 2231777 w 4349650"/>
            <a:gd name="connsiteY7" fmla="*/ 728664 h 1764509"/>
            <a:gd name="connsiteX8" fmla="*/ 2359851 w 4349650"/>
            <a:gd name="connsiteY8" fmla="*/ 802484 h 1764509"/>
            <a:gd name="connsiteX9" fmla="*/ 2729836 w 4349650"/>
            <a:gd name="connsiteY9" fmla="*/ 966788 h 1764509"/>
            <a:gd name="connsiteX10" fmla="*/ 2917200 w 4349650"/>
            <a:gd name="connsiteY10" fmla="*/ 1031082 h 1764509"/>
            <a:gd name="connsiteX11" fmla="*/ 2997838 w 4349650"/>
            <a:gd name="connsiteY11" fmla="*/ 1052513 h 1764509"/>
            <a:gd name="connsiteX12" fmla="*/ 3080849 w 4349650"/>
            <a:gd name="connsiteY12" fmla="*/ 1078706 h 1764509"/>
            <a:gd name="connsiteX13" fmla="*/ 3211293 w 4349650"/>
            <a:gd name="connsiteY13" fmla="*/ 1088231 h 1764509"/>
            <a:gd name="connsiteX14" fmla="*/ 3325134 w 4349650"/>
            <a:gd name="connsiteY14" fmla="*/ 1107281 h 1764509"/>
            <a:gd name="connsiteX15" fmla="*/ 4124399 w 4349650"/>
            <a:gd name="connsiteY15" fmla="*/ 1252537 h 1764509"/>
            <a:gd name="connsiteX16" fmla="*/ 3744927 w 4349650"/>
            <a:gd name="connsiteY16" fmla="*/ 1183481 h 1764509"/>
            <a:gd name="connsiteX17" fmla="*/ 4122028 w 4349650"/>
            <a:gd name="connsiteY17" fmla="*/ 1247775 h 1764509"/>
            <a:gd name="connsiteX18" fmla="*/ 4344971 w 4349650"/>
            <a:gd name="connsiteY18" fmla="*/ 1326358 h 1764509"/>
            <a:gd name="connsiteX19" fmla="*/ 4347246 w 4349650"/>
            <a:gd name="connsiteY19" fmla="*/ 1733551 h 1764509"/>
            <a:gd name="connsiteX20" fmla="*/ 4162348 w 4349650"/>
            <a:gd name="connsiteY20" fmla="*/ 1759746 h 1764509"/>
            <a:gd name="connsiteX21" fmla="*/ 4122030 w 4349650"/>
            <a:gd name="connsiteY21" fmla="*/ 1764509 h 1764509"/>
            <a:gd name="connsiteX22" fmla="*/ 3965496 w 4349650"/>
            <a:gd name="connsiteY22" fmla="*/ 1728790 h 1764509"/>
            <a:gd name="connsiteX23" fmla="*/ 3929919 w 4349650"/>
            <a:gd name="connsiteY23" fmla="*/ 1724027 h 1764509"/>
            <a:gd name="connsiteX24" fmla="*/ 3763901 w 4349650"/>
            <a:gd name="connsiteY24" fmla="*/ 1695452 h 1764509"/>
            <a:gd name="connsiteX25" fmla="*/ 3725953 w 4349650"/>
            <a:gd name="connsiteY25" fmla="*/ 1693071 h 1764509"/>
            <a:gd name="connsiteX26" fmla="*/ 3552819 w 4349650"/>
            <a:gd name="connsiteY26" fmla="*/ 1662115 h 1764509"/>
            <a:gd name="connsiteX27" fmla="*/ 3531474 w 4349650"/>
            <a:gd name="connsiteY27" fmla="*/ 1659733 h 1764509"/>
            <a:gd name="connsiteX28" fmla="*/ 3365454 w 4349650"/>
            <a:gd name="connsiteY28" fmla="*/ 1631159 h 1764509"/>
            <a:gd name="connsiteX29" fmla="*/ 3318020 w 4349650"/>
            <a:gd name="connsiteY29" fmla="*/ 1624015 h 1764509"/>
            <a:gd name="connsiteX30" fmla="*/ 3154372 w 4349650"/>
            <a:gd name="connsiteY30" fmla="*/ 1602584 h 1764509"/>
            <a:gd name="connsiteX31" fmla="*/ 3121169 w 4349650"/>
            <a:gd name="connsiteY31" fmla="*/ 1597821 h 1764509"/>
            <a:gd name="connsiteX32" fmla="*/ 2964635 w 4349650"/>
            <a:gd name="connsiteY32" fmla="*/ 1566865 h 1764509"/>
            <a:gd name="connsiteX33" fmla="*/ 2914829 w 4349650"/>
            <a:gd name="connsiteY33" fmla="*/ 1564484 h 1764509"/>
            <a:gd name="connsiteX34" fmla="*/ 2751181 w 4349650"/>
            <a:gd name="connsiteY34" fmla="*/ 1545434 h 1764509"/>
            <a:gd name="connsiteX35" fmla="*/ 2710862 w 4349650"/>
            <a:gd name="connsiteY35" fmla="*/ 1538290 h 1764509"/>
            <a:gd name="connsiteX36" fmla="*/ 2556702 w 4349650"/>
            <a:gd name="connsiteY36" fmla="*/ 1526384 h 1764509"/>
            <a:gd name="connsiteX37" fmla="*/ 2511639 w 4349650"/>
            <a:gd name="connsiteY37" fmla="*/ 1519240 h 1764509"/>
            <a:gd name="connsiteX38" fmla="*/ 2473692 w 4349650"/>
            <a:gd name="connsiteY38" fmla="*/ 1540671 h 1764509"/>
            <a:gd name="connsiteX39" fmla="*/ 2449973 w 4349650"/>
            <a:gd name="connsiteY39" fmla="*/ 1535909 h 1764509"/>
            <a:gd name="connsiteX40" fmla="*/ 2388310 w 4349650"/>
            <a:gd name="connsiteY40" fmla="*/ 1481140 h 1764509"/>
            <a:gd name="connsiteX41" fmla="*/ 2338504 w 4349650"/>
            <a:gd name="connsiteY41" fmla="*/ 1464471 h 1764509"/>
            <a:gd name="connsiteX42" fmla="*/ 2257866 w 4349650"/>
            <a:gd name="connsiteY42" fmla="*/ 1495428 h 1764509"/>
            <a:gd name="connsiteX43" fmla="*/ 2196202 w 4349650"/>
            <a:gd name="connsiteY43" fmla="*/ 1438277 h 1764509"/>
            <a:gd name="connsiteX44" fmla="*/ 2148427 w 4349650"/>
            <a:gd name="connsiteY44" fmla="*/ 1421607 h 1764509"/>
            <a:gd name="connsiteX45" fmla="*/ 2048194 w 4349650"/>
            <a:gd name="connsiteY45" fmla="*/ 1464470 h 1764509"/>
            <a:gd name="connsiteX46" fmla="*/ 1962291 w 4349650"/>
            <a:gd name="connsiteY46" fmla="*/ 1395414 h 1764509"/>
            <a:gd name="connsiteX47" fmla="*/ 1886299 w 4349650"/>
            <a:gd name="connsiteY47" fmla="*/ 1404939 h 1764509"/>
            <a:gd name="connsiteX48" fmla="*/ 1828758 w 4349650"/>
            <a:gd name="connsiteY48" fmla="*/ 1419227 h 1764509"/>
            <a:gd name="connsiteX49" fmla="*/ 1797754 w 4349650"/>
            <a:gd name="connsiteY49" fmla="*/ 1454947 h 1764509"/>
            <a:gd name="connsiteX50" fmla="*/ 1622248 w 4349650"/>
            <a:gd name="connsiteY50" fmla="*/ 1431134 h 1764509"/>
            <a:gd name="connsiteX51" fmla="*/ 1468087 w 4349650"/>
            <a:gd name="connsiteY51" fmla="*/ 1381126 h 1764509"/>
            <a:gd name="connsiteX52" fmla="*/ 1213101 w 4349650"/>
            <a:gd name="connsiteY52" fmla="*/ 1381127 h 1764509"/>
            <a:gd name="connsiteX53" fmla="*/ 763688 w 4349650"/>
            <a:gd name="connsiteY53" fmla="*/ 1285876 h 1764509"/>
            <a:gd name="connsiteX54" fmla="*/ 637859 w 4349650"/>
            <a:gd name="connsiteY54" fmla="*/ 1233489 h 1764509"/>
            <a:gd name="connsiteX55" fmla="*/ 404525 w 4349650"/>
            <a:gd name="connsiteY55" fmla="*/ 1216820 h 1764509"/>
            <a:gd name="connsiteX56" fmla="*/ 227685 w 4349650"/>
            <a:gd name="connsiteY56" fmla="*/ 1162052 h 1764509"/>
            <a:gd name="connsiteX57" fmla="*/ 0 w 4349650"/>
            <a:gd name="connsiteY57" fmla="*/ 1159670 h 1764509"/>
            <a:gd name="connsiteX58" fmla="*/ 15326 w 4349650"/>
            <a:gd name="connsiteY58" fmla="*/ 0 h 1764509"/>
            <a:gd name="connsiteX0" fmla="*/ 15326 w 4344971"/>
            <a:gd name="connsiteY0" fmla="*/ 0 h 1797845"/>
            <a:gd name="connsiteX1" fmla="*/ 3971371 w 4344971"/>
            <a:gd name="connsiteY1" fmla="*/ 33339 h 1797845"/>
            <a:gd name="connsiteX2" fmla="*/ 2970817 w 4344971"/>
            <a:gd name="connsiteY2" fmla="*/ 666752 h 1797845"/>
            <a:gd name="connsiteX3" fmla="*/ 2146676 w 4344971"/>
            <a:gd name="connsiteY3" fmla="*/ 533400 h 1797845"/>
            <a:gd name="connsiteX4" fmla="*/ 2060864 w 4344971"/>
            <a:gd name="connsiteY4" fmla="*/ 500063 h 1797845"/>
            <a:gd name="connsiteX5" fmla="*/ 2046874 w 4344971"/>
            <a:gd name="connsiteY5" fmla="*/ 559595 h 1797845"/>
            <a:gd name="connsiteX6" fmla="*/ 2148769 w 4344971"/>
            <a:gd name="connsiteY6" fmla="*/ 673896 h 1797845"/>
            <a:gd name="connsiteX7" fmla="*/ 2231777 w 4344971"/>
            <a:gd name="connsiteY7" fmla="*/ 728664 h 1797845"/>
            <a:gd name="connsiteX8" fmla="*/ 2359851 w 4344971"/>
            <a:gd name="connsiteY8" fmla="*/ 802484 h 1797845"/>
            <a:gd name="connsiteX9" fmla="*/ 2729836 w 4344971"/>
            <a:gd name="connsiteY9" fmla="*/ 966788 h 1797845"/>
            <a:gd name="connsiteX10" fmla="*/ 2917200 w 4344971"/>
            <a:gd name="connsiteY10" fmla="*/ 1031082 h 1797845"/>
            <a:gd name="connsiteX11" fmla="*/ 2997838 w 4344971"/>
            <a:gd name="connsiteY11" fmla="*/ 1052513 h 1797845"/>
            <a:gd name="connsiteX12" fmla="*/ 3080849 w 4344971"/>
            <a:gd name="connsiteY12" fmla="*/ 1078706 h 1797845"/>
            <a:gd name="connsiteX13" fmla="*/ 3211293 w 4344971"/>
            <a:gd name="connsiteY13" fmla="*/ 1088231 h 1797845"/>
            <a:gd name="connsiteX14" fmla="*/ 3325134 w 4344971"/>
            <a:gd name="connsiteY14" fmla="*/ 1107281 h 1797845"/>
            <a:gd name="connsiteX15" fmla="*/ 4124399 w 4344971"/>
            <a:gd name="connsiteY15" fmla="*/ 1252537 h 1797845"/>
            <a:gd name="connsiteX16" fmla="*/ 3744927 w 4344971"/>
            <a:gd name="connsiteY16" fmla="*/ 1183481 h 1797845"/>
            <a:gd name="connsiteX17" fmla="*/ 4122028 w 4344971"/>
            <a:gd name="connsiteY17" fmla="*/ 1247775 h 1797845"/>
            <a:gd name="connsiteX18" fmla="*/ 4344971 w 4344971"/>
            <a:gd name="connsiteY18" fmla="*/ 1326358 h 1797845"/>
            <a:gd name="connsiteX19" fmla="*/ 4309298 w 4344971"/>
            <a:gd name="connsiteY19" fmla="*/ 1797845 h 1797845"/>
            <a:gd name="connsiteX20" fmla="*/ 4162348 w 4344971"/>
            <a:gd name="connsiteY20" fmla="*/ 1759746 h 1797845"/>
            <a:gd name="connsiteX21" fmla="*/ 4122030 w 4344971"/>
            <a:gd name="connsiteY21" fmla="*/ 1764509 h 1797845"/>
            <a:gd name="connsiteX22" fmla="*/ 3965496 w 4344971"/>
            <a:gd name="connsiteY22" fmla="*/ 1728790 h 1797845"/>
            <a:gd name="connsiteX23" fmla="*/ 3929919 w 4344971"/>
            <a:gd name="connsiteY23" fmla="*/ 1724027 h 1797845"/>
            <a:gd name="connsiteX24" fmla="*/ 3763901 w 4344971"/>
            <a:gd name="connsiteY24" fmla="*/ 1695452 h 1797845"/>
            <a:gd name="connsiteX25" fmla="*/ 3725953 w 4344971"/>
            <a:gd name="connsiteY25" fmla="*/ 1693071 h 1797845"/>
            <a:gd name="connsiteX26" fmla="*/ 3552819 w 4344971"/>
            <a:gd name="connsiteY26" fmla="*/ 1662115 h 1797845"/>
            <a:gd name="connsiteX27" fmla="*/ 3531474 w 4344971"/>
            <a:gd name="connsiteY27" fmla="*/ 1659733 h 1797845"/>
            <a:gd name="connsiteX28" fmla="*/ 3365454 w 4344971"/>
            <a:gd name="connsiteY28" fmla="*/ 1631159 h 1797845"/>
            <a:gd name="connsiteX29" fmla="*/ 3318020 w 4344971"/>
            <a:gd name="connsiteY29" fmla="*/ 1624015 h 1797845"/>
            <a:gd name="connsiteX30" fmla="*/ 3154372 w 4344971"/>
            <a:gd name="connsiteY30" fmla="*/ 1602584 h 1797845"/>
            <a:gd name="connsiteX31" fmla="*/ 3121169 w 4344971"/>
            <a:gd name="connsiteY31" fmla="*/ 1597821 h 1797845"/>
            <a:gd name="connsiteX32" fmla="*/ 2964635 w 4344971"/>
            <a:gd name="connsiteY32" fmla="*/ 1566865 h 1797845"/>
            <a:gd name="connsiteX33" fmla="*/ 2914829 w 4344971"/>
            <a:gd name="connsiteY33" fmla="*/ 1564484 h 1797845"/>
            <a:gd name="connsiteX34" fmla="*/ 2751181 w 4344971"/>
            <a:gd name="connsiteY34" fmla="*/ 1545434 h 1797845"/>
            <a:gd name="connsiteX35" fmla="*/ 2710862 w 4344971"/>
            <a:gd name="connsiteY35" fmla="*/ 1538290 h 1797845"/>
            <a:gd name="connsiteX36" fmla="*/ 2556702 w 4344971"/>
            <a:gd name="connsiteY36" fmla="*/ 1526384 h 1797845"/>
            <a:gd name="connsiteX37" fmla="*/ 2511639 w 4344971"/>
            <a:gd name="connsiteY37" fmla="*/ 1519240 h 1797845"/>
            <a:gd name="connsiteX38" fmla="*/ 2473692 w 4344971"/>
            <a:gd name="connsiteY38" fmla="*/ 1540671 h 1797845"/>
            <a:gd name="connsiteX39" fmla="*/ 2449973 w 4344971"/>
            <a:gd name="connsiteY39" fmla="*/ 1535909 h 1797845"/>
            <a:gd name="connsiteX40" fmla="*/ 2388310 w 4344971"/>
            <a:gd name="connsiteY40" fmla="*/ 1481140 h 1797845"/>
            <a:gd name="connsiteX41" fmla="*/ 2338504 w 4344971"/>
            <a:gd name="connsiteY41" fmla="*/ 1464471 h 1797845"/>
            <a:gd name="connsiteX42" fmla="*/ 2257866 w 4344971"/>
            <a:gd name="connsiteY42" fmla="*/ 1495428 h 1797845"/>
            <a:gd name="connsiteX43" fmla="*/ 2196202 w 4344971"/>
            <a:gd name="connsiteY43" fmla="*/ 1438277 h 1797845"/>
            <a:gd name="connsiteX44" fmla="*/ 2148427 w 4344971"/>
            <a:gd name="connsiteY44" fmla="*/ 1421607 h 1797845"/>
            <a:gd name="connsiteX45" fmla="*/ 2048194 w 4344971"/>
            <a:gd name="connsiteY45" fmla="*/ 1464470 h 1797845"/>
            <a:gd name="connsiteX46" fmla="*/ 1962291 w 4344971"/>
            <a:gd name="connsiteY46" fmla="*/ 1395414 h 1797845"/>
            <a:gd name="connsiteX47" fmla="*/ 1886299 w 4344971"/>
            <a:gd name="connsiteY47" fmla="*/ 1404939 h 1797845"/>
            <a:gd name="connsiteX48" fmla="*/ 1828758 w 4344971"/>
            <a:gd name="connsiteY48" fmla="*/ 1419227 h 1797845"/>
            <a:gd name="connsiteX49" fmla="*/ 1797754 w 4344971"/>
            <a:gd name="connsiteY49" fmla="*/ 1454947 h 1797845"/>
            <a:gd name="connsiteX50" fmla="*/ 1622248 w 4344971"/>
            <a:gd name="connsiteY50" fmla="*/ 1431134 h 1797845"/>
            <a:gd name="connsiteX51" fmla="*/ 1468087 w 4344971"/>
            <a:gd name="connsiteY51" fmla="*/ 1381126 h 1797845"/>
            <a:gd name="connsiteX52" fmla="*/ 1213101 w 4344971"/>
            <a:gd name="connsiteY52" fmla="*/ 1381127 h 1797845"/>
            <a:gd name="connsiteX53" fmla="*/ 763688 w 4344971"/>
            <a:gd name="connsiteY53" fmla="*/ 1285876 h 1797845"/>
            <a:gd name="connsiteX54" fmla="*/ 637859 w 4344971"/>
            <a:gd name="connsiteY54" fmla="*/ 1233489 h 1797845"/>
            <a:gd name="connsiteX55" fmla="*/ 404525 w 4344971"/>
            <a:gd name="connsiteY55" fmla="*/ 1216820 h 1797845"/>
            <a:gd name="connsiteX56" fmla="*/ 227685 w 4344971"/>
            <a:gd name="connsiteY56" fmla="*/ 1162052 h 1797845"/>
            <a:gd name="connsiteX57" fmla="*/ 0 w 4344971"/>
            <a:gd name="connsiteY57" fmla="*/ 1159670 h 1797845"/>
            <a:gd name="connsiteX58" fmla="*/ 15326 w 4344971"/>
            <a:gd name="connsiteY58" fmla="*/ 0 h 1797845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325134 w 4316511"/>
            <a:gd name="connsiteY14" fmla="*/ 1107281 h 1851821"/>
            <a:gd name="connsiteX15" fmla="*/ 4124399 w 4316511"/>
            <a:gd name="connsiteY15" fmla="*/ 1252537 h 1851821"/>
            <a:gd name="connsiteX16" fmla="*/ 3744927 w 4316511"/>
            <a:gd name="connsiteY16" fmla="*/ 1183481 h 1851821"/>
            <a:gd name="connsiteX17" fmla="*/ 4122028 w 4316511"/>
            <a:gd name="connsiteY17" fmla="*/ 1247775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325134 w 4316511"/>
            <a:gd name="connsiteY14" fmla="*/ 1107281 h 1851821"/>
            <a:gd name="connsiteX15" fmla="*/ 4124399 w 4316511"/>
            <a:gd name="connsiteY15" fmla="*/ 1252537 h 1851821"/>
            <a:gd name="connsiteX16" fmla="*/ 3744927 w 4316511"/>
            <a:gd name="connsiteY16" fmla="*/ 1183481 h 1851821"/>
            <a:gd name="connsiteX17" fmla="*/ 4036646 w 4316511"/>
            <a:gd name="connsiteY17" fmla="*/ 1514475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325134 w 4316511"/>
            <a:gd name="connsiteY14" fmla="*/ 1107281 h 1851821"/>
            <a:gd name="connsiteX15" fmla="*/ 4124399 w 4316511"/>
            <a:gd name="connsiteY15" fmla="*/ 1252537 h 1851821"/>
            <a:gd name="connsiteX16" fmla="*/ 3744927 w 4316511"/>
            <a:gd name="connsiteY16" fmla="*/ 1183481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325134 w 4316511"/>
            <a:gd name="connsiteY14" fmla="*/ 1107281 h 1851821"/>
            <a:gd name="connsiteX15" fmla="*/ 4124399 w 4316511"/>
            <a:gd name="connsiteY15" fmla="*/ 1252537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325134 w 4316511"/>
            <a:gd name="connsiteY14" fmla="*/ 1107281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11293 w 4316511"/>
            <a:gd name="connsiteY13" fmla="*/ 1088231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3080849 w 4316511"/>
            <a:gd name="connsiteY12" fmla="*/ 1078706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997838 w 4316511"/>
            <a:gd name="connsiteY11" fmla="*/ 1052513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917200 w 4316511"/>
            <a:gd name="connsiteY10" fmla="*/ 1031082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729836 w 4316511"/>
            <a:gd name="connsiteY9" fmla="*/ 966788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2359851 w 4316511"/>
            <a:gd name="connsiteY8" fmla="*/ 802484 h 1851821"/>
            <a:gd name="connsiteX9" fmla="*/ 2181972 w 4316511"/>
            <a:gd name="connsiteY9" fmla="*/ 1007269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2231777 w 4316511"/>
            <a:gd name="connsiteY7" fmla="*/ 728664 h 1851821"/>
            <a:gd name="connsiteX8" fmla="*/ 1892625 w 4316511"/>
            <a:gd name="connsiteY8" fmla="*/ 835822 h 1851821"/>
            <a:gd name="connsiteX9" fmla="*/ 2181972 w 4316511"/>
            <a:gd name="connsiteY9" fmla="*/ 1007269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1861792 w 4316511"/>
            <a:gd name="connsiteY7" fmla="*/ 757240 h 1851821"/>
            <a:gd name="connsiteX8" fmla="*/ 2231777 w 4316511"/>
            <a:gd name="connsiteY8" fmla="*/ 728664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2148769 w 4316511"/>
            <a:gd name="connsiteY6" fmla="*/ 673896 h 1851821"/>
            <a:gd name="connsiteX7" fmla="*/ 1861792 w 4316511"/>
            <a:gd name="connsiteY7" fmla="*/ 757240 h 1851821"/>
            <a:gd name="connsiteX8" fmla="*/ 1892625 w 4316511"/>
            <a:gd name="connsiteY8" fmla="*/ 835822 h 1851821"/>
            <a:gd name="connsiteX9" fmla="*/ 2181972 w 4316511"/>
            <a:gd name="connsiteY9" fmla="*/ 1007269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970817 w 4316511"/>
            <a:gd name="connsiteY2" fmla="*/ 666752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1899741 w 4316511"/>
            <a:gd name="connsiteY6" fmla="*/ 723902 h 1851821"/>
            <a:gd name="connsiteX7" fmla="*/ 1861792 w 4316511"/>
            <a:gd name="connsiteY7" fmla="*/ 757240 h 1851821"/>
            <a:gd name="connsiteX8" fmla="*/ 1892625 w 4316511"/>
            <a:gd name="connsiteY8" fmla="*/ 835822 h 1851821"/>
            <a:gd name="connsiteX9" fmla="*/ 2181972 w 4316511"/>
            <a:gd name="connsiteY9" fmla="*/ 1007269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146676 w 4316511"/>
            <a:gd name="connsiteY3" fmla="*/ 533400 h 1851821"/>
            <a:gd name="connsiteX4" fmla="*/ 2060864 w 4316511"/>
            <a:gd name="connsiteY4" fmla="*/ 500063 h 1851821"/>
            <a:gd name="connsiteX5" fmla="*/ 2046874 w 4316511"/>
            <a:gd name="connsiteY5" fmla="*/ 559595 h 1851821"/>
            <a:gd name="connsiteX6" fmla="*/ 1899741 w 4316511"/>
            <a:gd name="connsiteY6" fmla="*/ 723902 h 1851821"/>
            <a:gd name="connsiteX7" fmla="*/ 1861792 w 4316511"/>
            <a:gd name="connsiteY7" fmla="*/ 757240 h 1851821"/>
            <a:gd name="connsiteX8" fmla="*/ 1892625 w 4316511"/>
            <a:gd name="connsiteY8" fmla="*/ 835822 h 1851821"/>
            <a:gd name="connsiteX9" fmla="*/ 2181972 w 4316511"/>
            <a:gd name="connsiteY9" fmla="*/ 1007269 h 1851821"/>
            <a:gd name="connsiteX10" fmla="*/ 2457090 w 4316511"/>
            <a:gd name="connsiteY10" fmla="*/ 1128714 h 1851821"/>
            <a:gd name="connsiteX11" fmla="*/ 2708489 w 4316511"/>
            <a:gd name="connsiteY11" fmla="*/ 1214438 h 1851821"/>
            <a:gd name="connsiteX12" fmla="*/ 2983608 w 4316511"/>
            <a:gd name="connsiteY12" fmla="*/ 1290638 h 1851821"/>
            <a:gd name="connsiteX13" fmla="*/ 3201807 w 4316511"/>
            <a:gd name="connsiteY13" fmla="*/ 1331118 h 1851821"/>
            <a:gd name="connsiteX14" fmla="*/ 3484038 w 4316511"/>
            <a:gd name="connsiteY14" fmla="*/ 1404937 h 1851821"/>
            <a:gd name="connsiteX15" fmla="*/ 3593137 w 4316511"/>
            <a:gd name="connsiteY15" fmla="*/ 1400175 h 1851821"/>
            <a:gd name="connsiteX16" fmla="*/ 3808963 w 4316511"/>
            <a:gd name="connsiteY16" fmla="*/ 1464468 h 1851821"/>
            <a:gd name="connsiteX17" fmla="*/ 4242986 w 4316511"/>
            <a:gd name="connsiteY17" fmla="*/ 1564482 h 1851821"/>
            <a:gd name="connsiteX18" fmla="*/ 4316511 w 4316511"/>
            <a:gd name="connsiteY18" fmla="*/ 1590677 h 1851821"/>
            <a:gd name="connsiteX19" fmla="*/ 4309298 w 4316511"/>
            <a:gd name="connsiteY19" fmla="*/ 1797845 h 1851821"/>
            <a:gd name="connsiteX20" fmla="*/ 4162348 w 4316511"/>
            <a:gd name="connsiteY20" fmla="*/ 1759746 h 1851821"/>
            <a:gd name="connsiteX21" fmla="*/ 4122030 w 4316511"/>
            <a:gd name="connsiteY21" fmla="*/ 1764509 h 1851821"/>
            <a:gd name="connsiteX22" fmla="*/ 3965496 w 4316511"/>
            <a:gd name="connsiteY22" fmla="*/ 1728790 h 1851821"/>
            <a:gd name="connsiteX23" fmla="*/ 3929919 w 4316511"/>
            <a:gd name="connsiteY23" fmla="*/ 1724027 h 1851821"/>
            <a:gd name="connsiteX24" fmla="*/ 3763901 w 4316511"/>
            <a:gd name="connsiteY24" fmla="*/ 1695452 h 1851821"/>
            <a:gd name="connsiteX25" fmla="*/ 3725953 w 4316511"/>
            <a:gd name="connsiteY25" fmla="*/ 1693071 h 1851821"/>
            <a:gd name="connsiteX26" fmla="*/ 3552819 w 4316511"/>
            <a:gd name="connsiteY26" fmla="*/ 1662115 h 1851821"/>
            <a:gd name="connsiteX27" fmla="*/ 3531474 w 4316511"/>
            <a:gd name="connsiteY27" fmla="*/ 1659733 h 1851821"/>
            <a:gd name="connsiteX28" fmla="*/ 3365454 w 4316511"/>
            <a:gd name="connsiteY28" fmla="*/ 1631159 h 1851821"/>
            <a:gd name="connsiteX29" fmla="*/ 3318020 w 4316511"/>
            <a:gd name="connsiteY29" fmla="*/ 1624015 h 1851821"/>
            <a:gd name="connsiteX30" fmla="*/ 3154372 w 4316511"/>
            <a:gd name="connsiteY30" fmla="*/ 1602584 h 1851821"/>
            <a:gd name="connsiteX31" fmla="*/ 3121169 w 4316511"/>
            <a:gd name="connsiteY31" fmla="*/ 1597821 h 1851821"/>
            <a:gd name="connsiteX32" fmla="*/ 2964635 w 4316511"/>
            <a:gd name="connsiteY32" fmla="*/ 1566865 h 1851821"/>
            <a:gd name="connsiteX33" fmla="*/ 2914829 w 4316511"/>
            <a:gd name="connsiteY33" fmla="*/ 1564484 h 1851821"/>
            <a:gd name="connsiteX34" fmla="*/ 2751181 w 4316511"/>
            <a:gd name="connsiteY34" fmla="*/ 1545434 h 1851821"/>
            <a:gd name="connsiteX35" fmla="*/ 2710862 w 4316511"/>
            <a:gd name="connsiteY35" fmla="*/ 1538290 h 1851821"/>
            <a:gd name="connsiteX36" fmla="*/ 2556702 w 4316511"/>
            <a:gd name="connsiteY36" fmla="*/ 1526384 h 1851821"/>
            <a:gd name="connsiteX37" fmla="*/ 2511639 w 4316511"/>
            <a:gd name="connsiteY37" fmla="*/ 1519240 h 1851821"/>
            <a:gd name="connsiteX38" fmla="*/ 2473692 w 4316511"/>
            <a:gd name="connsiteY38" fmla="*/ 1540671 h 1851821"/>
            <a:gd name="connsiteX39" fmla="*/ 2449973 w 4316511"/>
            <a:gd name="connsiteY39" fmla="*/ 1535909 h 1851821"/>
            <a:gd name="connsiteX40" fmla="*/ 2388310 w 4316511"/>
            <a:gd name="connsiteY40" fmla="*/ 1481140 h 1851821"/>
            <a:gd name="connsiteX41" fmla="*/ 2338504 w 4316511"/>
            <a:gd name="connsiteY41" fmla="*/ 1464471 h 1851821"/>
            <a:gd name="connsiteX42" fmla="*/ 2257866 w 4316511"/>
            <a:gd name="connsiteY42" fmla="*/ 1495428 h 1851821"/>
            <a:gd name="connsiteX43" fmla="*/ 2196202 w 4316511"/>
            <a:gd name="connsiteY43" fmla="*/ 1438277 h 1851821"/>
            <a:gd name="connsiteX44" fmla="*/ 2148427 w 4316511"/>
            <a:gd name="connsiteY44" fmla="*/ 1421607 h 1851821"/>
            <a:gd name="connsiteX45" fmla="*/ 2048194 w 4316511"/>
            <a:gd name="connsiteY45" fmla="*/ 1464470 h 1851821"/>
            <a:gd name="connsiteX46" fmla="*/ 1962291 w 4316511"/>
            <a:gd name="connsiteY46" fmla="*/ 1395414 h 1851821"/>
            <a:gd name="connsiteX47" fmla="*/ 1886299 w 4316511"/>
            <a:gd name="connsiteY47" fmla="*/ 1404939 h 1851821"/>
            <a:gd name="connsiteX48" fmla="*/ 1828758 w 4316511"/>
            <a:gd name="connsiteY48" fmla="*/ 1419227 h 1851821"/>
            <a:gd name="connsiteX49" fmla="*/ 1797754 w 4316511"/>
            <a:gd name="connsiteY49" fmla="*/ 1454947 h 1851821"/>
            <a:gd name="connsiteX50" fmla="*/ 1622248 w 4316511"/>
            <a:gd name="connsiteY50" fmla="*/ 1431134 h 1851821"/>
            <a:gd name="connsiteX51" fmla="*/ 1468087 w 4316511"/>
            <a:gd name="connsiteY51" fmla="*/ 1381126 h 1851821"/>
            <a:gd name="connsiteX52" fmla="*/ 1213101 w 4316511"/>
            <a:gd name="connsiteY52" fmla="*/ 1381127 h 1851821"/>
            <a:gd name="connsiteX53" fmla="*/ 763688 w 4316511"/>
            <a:gd name="connsiteY53" fmla="*/ 1285876 h 1851821"/>
            <a:gd name="connsiteX54" fmla="*/ 637859 w 4316511"/>
            <a:gd name="connsiteY54" fmla="*/ 1233489 h 1851821"/>
            <a:gd name="connsiteX55" fmla="*/ 404525 w 4316511"/>
            <a:gd name="connsiteY55" fmla="*/ 1216820 h 1851821"/>
            <a:gd name="connsiteX56" fmla="*/ 227685 w 4316511"/>
            <a:gd name="connsiteY56" fmla="*/ 1162052 h 1851821"/>
            <a:gd name="connsiteX57" fmla="*/ 0 w 4316511"/>
            <a:gd name="connsiteY57" fmla="*/ 1159670 h 1851821"/>
            <a:gd name="connsiteX58" fmla="*/ 15326 w 4316511"/>
            <a:gd name="connsiteY5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146676 w 4316511"/>
            <a:gd name="connsiteY4" fmla="*/ 533400 h 1851821"/>
            <a:gd name="connsiteX5" fmla="*/ 2060864 w 4316511"/>
            <a:gd name="connsiteY5" fmla="*/ 500063 h 1851821"/>
            <a:gd name="connsiteX6" fmla="*/ 2046874 w 4316511"/>
            <a:gd name="connsiteY6" fmla="*/ 559595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146676 w 4316511"/>
            <a:gd name="connsiteY4" fmla="*/ 533400 h 1851821"/>
            <a:gd name="connsiteX5" fmla="*/ 2060864 w 4316511"/>
            <a:gd name="connsiteY5" fmla="*/ 500063 h 1851821"/>
            <a:gd name="connsiteX6" fmla="*/ 1954378 w 4316511"/>
            <a:gd name="connsiteY6" fmla="*/ 688183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146676 w 4316511"/>
            <a:gd name="connsiteY4" fmla="*/ 533400 h 1851821"/>
            <a:gd name="connsiteX5" fmla="*/ 2060864 w 4316511"/>
            <a:gd name="connsiteY5" fmla="*/ 500063 h 1851821"/>
            <a:gd name="connsiteX6" fmla="*/ 1954378 w 4316511"/>
            <a:gd name="connsiteY6" fmla="*/ 688183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146676 w 4316511"/>
            <a:gd name="connsiteY4" fmla="*/ 533400 h 1851821"/>
            <a:gd name="connsiteX5" fmla="*/ 2070351 w 4316511"/>
            <a:gd name="connsiteY5" fmla="*/ 673894 h 1851821"/>
            <a:gd name="connsiteX6" fmla="*/ 1954378 w 4316511"/>
            <a:gd name="connsiteY6" fmla="*/ 688183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146676 w 4316511"/>
            <a:gd name="connsiteY4" fmla="*/ 533400 h 1851821"/>
            <a:gd name="connsiteX5" fmla="*/ 2070351 w 4316511"/>
            <a:gd name="connsiteY5" fmla="*/ 673894 h 1851821"/>
            <a:gd name="connsiteX6" fmla="*/ 1947264 w 4316511"/>
            <a:gd name="connsiteY6" fmla="*/ 707233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243917 w 4316511"/>
            <a:gd name="connsiteY4" fmla="*/ 704850 h 1851821"/>
            <a:gd name="connsiteX5" fmla="*/ 2070351 w 4316511"/>
            <a:gd name="connsiteY5" fmla="*/ 673894 h 1851821"/>
            <a:gd name="connsiteX6" fmla="*/ 1947264 w 4316511"/>
            <a:gd name="connsiteY6" fmla="*/ 707233 h 1851821"/>
            <a:gd name="connsiteX7" fmla="*/ 1899741 w 4316511"/>
            <a:gd name="connsiteY7" fmla="*/ 723902 h 1851821"/>
            <a:gd name="connsiteX8" fmla="*/ 1861792 w 4316511"/>
            <a:gd name="connsiteY8" fmla="*/ 757240 h 1851821"/>
            <a:gd name="connsiteX9" fmla="*/ 1892625 w 4316511"/>
            <a:gd name="connsiteY9" fmla="*/ 835822 h 1851821"/>
            <a:gd name="connsiteX10" fmla="*/ 2181972 w 4316511"/>
            <a:gd name="connsiteY10" fmla="*/ 1007269 h 1851821"/>
            <a:gd name="connsiteX11" fmla="*/ 2457090 w 4316511"/>
            <a:gd name="connsiteY11" fmla="*/ 1128714 h 1851821"/>
            <a:gd name="connsiteX12" fmla="*/ 2708489 w 4316511"/>
            <a:gd name="connsiteY12" fmla="*/ 1214438 h 1851821"/>
            <a:gd name="connsiteX13" fmla="*/ 2983608 w 4316511"/>
            <a:gd name="connsiteY13" fmla="*/ 1290638 h 1851821"/>
            <a:gd name="connsiteX14" fmla="*/ 3201807 w 4316511"/>
            <a:gd name="connsiteY14" fmla="*/ 1331118 h 1851821"/>
            <a:gd name="connsiteX15" fmla="*/ 3484038 w 4316511"/>
            <a:gd name="connsiteY15" fmla="*/ 1404937 h 1851821"/>
            <a:gd name="connsiteX16" fmla="*/ 3593137 w 4316511"/>
            <a:gd name="connsiteY16" fmla="*/ 1400175 h 1851821"/>
            <a:gd name="connsiteX17" fmla="*/ 3808963 w 4316511"/>
            <a:gd name="connsiteY17" fmla="*/ 1464468 h 1851821"/>
            <a:gd name="connsiteX18" fmla="*/ 4242986 w 4316511"/>
            <a:gd name="connsiteY18" fmla="*/ 1564482 h 1851821"/>
            <a:gd name="connsiteX19" fmla="*/ 4316511 w 4316511"/>
            <a:gd name="connsiteY19" fmla="*/ 1590677 h 1851821"/>
            <a:gd name="connsiteX20" fmla="*/ 4309298 w 4316511"/>
            <a:gd name="connsiteY20" fmla="*/ 1797845 h 1851821"/>
            <a:gd name="connsiteX21" fmla="*/ 4162348 w 4316511"/>
            <a:gd name="connsiteY21" fmla="*/ 1759746 h 1851821"/>
            <a:gd name="connsiteX22" fmla="*/ 4122030 w 4316511"/>
            <a:gd name="connsiteY22" fmla="*/ 1764509 h 1851821"/>
            <a:gd name="connsiteX23" fmla="*/ 3965496 w 4316511"/>
            <a:gd name="connsiteY23" fmla="*/ 1728790 h 1851821"/>
            <a:gd name="connsiteX24" fmla="*/ 3929919 w 4316511"/>
            <a:gd name="connsiteY24" fmla="*/ 1724027 h 1851821"/>
            <a:gd name="connsiteX25" fmla="*/ 3763901 w 4316511"/>
            <a:gd name="connsiteY25" fmla="*/ 1695452 h 1851821"/>
            <a:gd name="connsiteX26" fmla="*/ 3725953 w 4316511"/>
            <a:gd name="connsiteY26" fmla="*/ 1693071 h 1851821"/>
            <a:gd name="connsiteX27" fmla="*/ 3552819 w 4316511"/>
            <a:gd name="connsiteY27" fmla="*/ 1662115 h 1851821"/>
            <a:gd name="connsiteX28" fmla="*/ 3531474 w 4316511"/>
            <a:gd name="connsiteY28" fmla="*/ 1659733 h 1851821"/>
            <a:gd name="connsiteX29" fmla="*/ 3365454 w 4316511"/>
            <a:gd name="connsiteY29" fmla="*/ 1631159 h 1851821"/>
            <a:gd name="connsiteX30" fmla="*/ 3318020 w 4316511"/>
            <a:gd name="connsiteY30" fmla="*/ 1624015 h 1851821"/>
            <a:gd name="connsiteX31" fmla="*/ 3154372 w 4316511"/>
            <a:gd name="connsiteY31" fmla="*/ 1602584 h 1851821"/>
            <a:gd name="connsiteX32" fmla="*/ 3121169 w 4316511"/>
            <a:gd name="connsiteY32" fmla="*/ 1597821 h 1851821"/>
            <a:gd name="connsiteX33" fmla="*/ 2964635 w 4316511"/>
            <a:gd name="connsiteY33" fmla="*/ 1566865 h 1851821"/>
            <a:gd name="connsiteX34" fmla="*/ 2914829 w 4316511"/>
            <a:gd name="connsiteY34" fmla="*/ 1564484 h 1851821"/>
            <a:gd name="connsiteX35" fmla="*/ 2751181 w 4316511"/>
            <a:gd name="connsiteY35" fmla="*/ 1545434 h 1851821"/>
            <a:gd name="connsiteX36" fmla="*/ 2710862 w 4316511"/>
            <a:gd name="connsiteY36" fmla="*/ 1538290 h 1851821"/>
            <a:gd name="connsiteX37" fmla="*/ 2556702 w 4316511"/>
            <a:gd name="connsiteY37" fmla="*/ 1526384 h 1851821"/>
            <a:gd name="connsiteX38" fmla="*/ 2511639 w 4316511"/>
            <a:gd name="connsiteY38" fmla="*/ 1519240 h 1851821"/>
            <a:gd name="connsiteX39" fmla="*/ 2473692 w 4316511"/>
            <a:gd name="connsiteY39" fmla="*/ 1540671 h 1851821"/>
            <a:gd name="connsiteX40" fmla="*/ 2449973 w 4316511"/>
            <a:gd name="connsiteY40" fmla="*/ 1535909 h 1851821"/>
            <a:gd name="connsiteX41" fmla="*/ 2388310 w 4316511"/>
            <a:gd name="connsiteY41" fmla="*/ 1481140 h 1851821"/>
            <a:gd name="connsiteX42" fmla="*/ 2338504 w 4316511"/>
            <a:gd name="connsiteY42" fmla="*/ 1464471 h 1851821"/>
            <a:gd name="connsiteX43" fmla="*/ 2257866 w 4316511"/>
            <a:gd name="connsiteY43" fmla="*/ 1495428 h 1851821"/>
            <a:gd name="connsiteX44" fmla="*/ 2196202 w 4316511"/>
            <a:gd name="connsiteY44" fmla="*/ 1438277 h 1851821"/>
            <a:gd name="connsiteX45" fmla="*/ 2148427 w 4316511"/>
            <a:gd name="connsiteY45" fmla="*/ 1421607 h 1851821"/>
            <a:gd name="connsiteX46" fmla="*/ 2048194 w 4316511"/>
            <a:gd name="connsiteY46" fmla="*/ 1464470 h 1851821"/>
            <a:gd name="connsiteX47" fmla="*/ 1962291 w 4316511"/>
            <a:gd name="connsiteY47" fmla="*/ 1395414 h 1851821"/>
            <a:gd name="connsiteX48" fmla="*/ 1886299 w 4316511"/>
            <a:gd name="connsiteY48" fmla="*/ 1404939 h 1851821"/>
            <a:gd name="connsiteX49" fmla="*/ 1828758 w 4316511"/>
            <a:gd name="connsiteY49" fmla="*/ 1419227 h 1851821"/>
            <a:gd name="connsiteX50" fmla="*/ 1797754 w 4316511"/>
            <a:gd name="connsiteY50" fmla="*/ 1454947 h 1851821"/>
            <a:gd name="connsiteX51" fmla="*/ 1622248 w 4316511"/>
            <a:gd name="connsiteY51" fmla="*/ 1431134 h 1851821"/>
            <a:gd name="connsiteX52" fmla="*/ 1468087 w 4316511"/>
            <a:gd name="connsiteY52" fmla="*/ 1381126 h 1851821"/>
            <a:gd name="connsiteX53" fmla="*/ 1213101 w 4316511"/>
            <a:gd name="connsiteY53" fmla="*/ 1381127 h 1851821"/>
            <a:gd name="connsiteX54" fmla="*/ 763688 w 4316511"/>
            <a:gd name="connsiteY54" fmla="*/ 1285876 h 1851821"/>
            <a:gd name="connsiteX55" fmla="*/ 637859 w 4316511"/>
            <a:gd name="connsiteY55" fmla="*/ 1233489 h 1851821"/>
            <a:gd name="connsiteX56" fmla="*/ 404525 w 4316511"/>
            <a:gd name="connsiteY56" fmla="*/ 1216820 h 1851821"/>
            <a:gd name="connsiteX57" fmla="*/ 227685 w 4316511"/>
            <a:gd name="connsiteY57" fmla="*/ 1162052 h 1851821"/>
            <a:gd name="connsiteX58" fmla="*/ 0 w 4316511"/>
            <a:gd name="connsiteY58" fmla="*/ 1159670 h 1851821"/>
            <a:gd name="connsiteX59" fmla="*/ 15326 w 4316511"/>
            <a:gd name="connsiteY5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291072 w 4316511"/>
            <a:gd name="connsiteY4" fmla="*/ 714377 h 1851821"/>
            <a:gd name="connsiteX5" fmla="*/ 2243917 w 4316511"/>
            <a:gd name="connsiteY5" fmla="*/ 704850 h 1851821"/>
            <a:gd name="connsiteX6" fmla="*/ 2070351 w 4316511"/>
            <a:gd name="connsiteY6" fmla="*/ 673894 h 1851821"/>
            <a:gd name="connsiteX7" fmla="*/ 1947264 w 4316511"/>
            <a:gd name="connsiteY7" fmla="*/ 707233 h 1851821"/>
            <a:gd name="connsiteX8" fmla="*/ 1899741 w 4316511"/>
            <a:gd name="connsiteY8" fmla="*/ 723902 h 1851821"/>
            <a:gd name="connsiteX9" fmla="*/ 1861792 w 4316511"/>
            <a:gd name="connsiteY9" fmla="*/ 757240 h 1851821"/>
            <a:gd name="connsiteX10" fmla="*/ 1892625 w 4316511"/>
            <a:gd name="connsiteY10" fmla="*/ 835822 h 1851821"/>
            <a:gd name="connsiteX11" fmla="*/ 2181972 w 4316511"/>
            <a:gd name="connsiteY11" fmla="*/ 1007269 h 1851821"/>
            <a:gd name="connsiteX12" fmla="*/ 2457090 w 4316511"/>
            <a:gd name="connsiteY12" fmla="*/ 1128714 h 1851821"/>
            <a:gd name="connsiteX13" fmla="*/ 2708489 w 4316511"/>
            <a:gd name="connsiteY13" fmla="*/ 1214438 h 1851821"/>
            <a:gd name="connsiteX14" fmla="*/ 2983608 w 4316511"/>
            <a:gd name="connsiteY14" fmla="*/ 1290638 h 1851821"/>
            <a:gd name="connsiteX15" fmla="*/ 3201807 w 4316511"/>
            <a:gd name="connsiteY15" fmla="*/ 1331118 h 1851821"/>
            <a:gd name="connsiteX16" fmla="*/ 3484038 w 4316511"/>
            <a:gd name="connsiteY16" fmla="*/ 1404937 h 1851821"/>
            <a:gd name="connsiteX17" fmla="*/ 3593137 w 4316511"/>
            <a:gd name="connsiteY17" fmla="*/ 1400175 h 1851821"/>
            <a:gd name="connsiteX18" fmla="*/ 3808963 w 4316511"/>
            <a:gd name="connsiteY18" fmla="*/ 1464468 h 1851821"/>
            <a:gd name="connsiteX19" fmla="*/ 4242986 w 4316511"/>
            <a:gd name="connsiteY19" fmla="*/ 1564482 h 1851821"/>
            <a:gd name="connsiteX20" fmla="*/ 4316511 w 4316511"/>
            <a:gd name="connsiteY20" fmla="*/ 1590677 h 1851821"/>
            <a:gd name="connsiteX21" fmla="*/ 4309298 w 4316511"/>
            <a:gd name="connsiteY21" fmla="*/ 1797845 h 1851821"/>
            <a:gd name="connsiteX22" fmla="*/ 4162348 w 4316511"/>
            <a:gd name="connsiteY22" fmla="*/ 1759746 h 1851821"/>
            <a:gd name="connsiteX23" fmla="*/ 4122030 w 4316511"/>
            <a:gd name="connsiteY23" fmla="*/ 1764509 h 1851821"/>
            <a:gd name="connsiteX24" fmla="*/ 3965496 w 4316511"/>
            <a:gd name="connsiteY24" fmla="*/ 1728790 h 1851821"/>
            <a:gd name="connsiteX25" fmla="*/ 3929919 w 4316511"/>
            <a:gd name="connsiteY25" fmla="*/ 1724027 h 1851821"/>
            <a:gd name="connsiteX26" fmla="*/ 3763901 w 4316511"/>
            <a:gd name="connsiteY26" fmla="*/ 1695452 h 1851821"/>
            <a:gd name="connsiteX27" fmla="*/ 3725953 w 4316511"/>
            <a:gd name="connsiteY27" fmla="*/ 1693071 h 1851821"/>
            <a:gd name="connsiteX28" fmla="*/ 3552819 w 4316511"/>
            <a:gd name="connsiteY28" fmla="*/ 1662115 h 1851821"/>
            <a:gd name="connsiteX29" fmla="*/ 3531474 w 4316511"/>
            <a:gd name="connsiteY29" fmla="*/ 1659733 h 1851821"/>
            <a:gd name="connsiteX30" fmla="*/ 3365454 w 4316511"/>
            <a:gd name="connsiteY30" fmla="*/ 1631159 h 1851821"/>
            <a:gd name="connsiteX31" fmla="*/ 3318020 w 4316511"/>
            <a:gd name="connsiteY31" fmla="*/ 1624015 h 1851821"/>
            <a:gd name="connsiteX32" fmla="*/ 3154372 w 4316511"/>
            <a:gd name="connsiteY32" fmla="*/ 1602584 h 1851821"/>
            <a:gd name="connsiteX33" fmla="*/ 3121169 w 4316511"/>
            <a:gd name="connsiteY33" fmla="*/ 1597821 h 1851821"/>
            <a:gd name="connsiteX34" fmla="*/ 2964635 w 4316511"/>
            <a:gd name="connsiteY34" fmla="*/ 1566865 h 1851821"/>
            <a:gd name="connsiteX35" fmla="*/ 2914829 w 4316511"/>
            <a:gd name="connsiteY35" fmla="*/ 1564484 h 1851821"/>
            <a:gd name="connsiteX36" fmla="*/ 2751181 w 4316511"/>
            <a:gd name="connsiteY36" fmla="*/ 1545434 h 1851821"/>
            <a:gd name="connsiteX37" fmla="*/ 2710862 w 4316511"/>
            <a:gd name="connsiteY37" fmla="*/ 1538290 h 1851821"/>
            <a:gd name="connsiteX38" fmla="*/ 2556702 w 4316511"/>
            <a:gd name="connsiteY38" fmla="*/ 1526384 h 1851821"/>
            <a:gd name="connsiteX39" fmla="*/ 2511639 w 4316511"/>
            <a:gd name="connsiteY39" fmla="*/ 1519240 h 1851821"/>
            <a:gd name="connsiteX40" fmla="*/ 2473692 w 4316511"/>
            <a:gd name="connsiteY40" fmla="*/ 1540671 h 1851821"/>
            <a:gd name="connsiteX41" fmla="*/ 2449973 w 4316511"/>
            <a:gd name="connsiteY41" fmla="*/ 1535909 h 1851821"/>
            <a:gd name="connsiteX42" fmla="*/ 2388310 w 4316511"/>
            <a:gd name="connsiteY42" fmla="*/ 1481140 h 1851821"/>
            <a:gd name="connsiteX43" fmla="*/ 2338504 w 4316511"/>
            <a:gd name="connsiteY43" fmla="*/ 1464471 h 1851821"/>
            <a:gd name="connsiteX44" fmla="*/ 2257866 w 4316511"/>
            <a:gd name="connsiteY44" fmla="*/ 1495428 h 1851821"/>
            <a:gd name="connsiteX45" fmla="*/ 2196202 w 4316511"/>
            <a:gd name="connsiteY45" fmla="*/ 1438277 h 1851821"/>
            <a:gd name="connsiteX46" fmla="*/ 2148427 w 4316511"/>
            <a:gd name="connsiteY46" fmla="*/ 1421607 h 1851821"/>
            <a:gd name="connsiteX47" fmla="*/ 2048194 w 4316511"/>
            <a:gd name="connsiteY47" fmla="*/ 1464470 h 1851821"/>
            <a:gd name="connsiteX48" fmla="*/ 1962291 w 4316511"/>
            <a:gd name="connsiteY48" fmla="*/ 1395414 h 1851821"/>
            <a:gd name="connsiteX49" fmla="*/ 1886299 w 4316511"/>
            <a:gd name="connsiteY49" fmla="*/ 1404939 h 1851821"/>
            <a:gd name="connsiteX50" fmla="*/ 1828758 w 4316511"/>
            <a:gd name="connsiteY50" fmla="*/ 1419227 h 1851821"/>
            <a:gd name="connsiteX51" fmla="*/ 1797754 w 4316511"/>
            <a:gd name="connsiteY51" fmla="*/ 1454947 h 1851821"/>
            <a:gd name="connsiteX52" fmla="*/ 1622248 w 4316511"/>
            <a:gd name="connsiteY52" fmla="*/ 1431134 h 1851821"/>
            <a:gd name="connsiteX53" fmla="*/ 1468087 w 4316511"/>
            <a:gd name="connsiteY53" fmla="*/ 1381126 h 1851821"/>
            <a:gd name="connsiteX54" fmla="*/ 1213101 w 4316511"/>
            <a:gd name="connsiteY54" fmla="*/ 1381127 h 1851821"/>
            <a:gd name="connsiteX55" fmla="*/ 763688 w 4316511"/>
            <a:gd name="connsiteY55" fmla="*/ 1285876 h 1851821"/>
            <a:gd name="connsiteX56" fmla="*/ 637859 w 4316511"/>
            <a:gd name="connsiteY56" fmla="*/ 1233489 h 1851821"/>
            <a:gd name="connsiteX57" fmla="*/ 404525 w 4316511"/>
            <a:gd name="connsiteY57" fmla="*/ 1216820 h 1851821"/>
            <a:gd name="connsiteX58" fmla="*/ 227685 w 4316511"/>
            <a:gd name="connsiteY58" fmla="*/ 1162052 h 1851821"/>
            <a:gd name="connsiteX59" fmla="*/ 0 w 4316511"/>
            <a:gd name="connsiteY59" fmla="*/ 1159670 h 1851821"/>
            <a:gd name="connsiteX60" fmla="*/ 15326 w 4316511"/>
            <a:gd name="connsiteY60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449975 w 4316511"/>
            <a:gd name="connsiteY4" fmla="*/ 750096 h 1851821"/>
            <a:gd name="connsiteX5" fmla="*/ 2291072 w 4316511"/>
            <a:gd name="connsiteY5" fmla="*/ 714377 h 1851821"/>
            <a:gd name="connsiteX6" fmla="*/ 2243917 w 4316511"/>
            <a:gd name="connsiteY6" fmla="*/ 704850 h 1851821"/>
            <a:gd name="connsiteX7" fmla="*/ 2070351 w 4316511"/>
            <a:gd name="connsiteY7" fmla="*/ 673894 h 1851821"/>
            <a:gd name="connsiteX8" fmla="*/ 1947264 w 4316511"/>
            <a:gd name="connsiteY8" fmla="*/ 707233 h 1851821"/>
            <a:gd name="connsiteX9" fmla="*/ 1899741 w 4316511"/>
            <a:gd name="connsiteY9" fmla="*/ 723902 h 1851821"/>
            <a:gd name="connsiteX10" fmla="*/ 1861792 w 4316511"/>
            <a:gd name="connsiteY10" fmla="*/ 757240 h 1851821"/>
            <a:gd name="connsiteX11" fmla="*/ 1892625 w 4316511"/>
            <a:gd name="connsiteY11" fmla="*/ 835822 h 1851821"/>
            <a:gd name="connsiteX12" fmla="*/ 2181972 w 4316511"/>
            <a:gd name="connsiteY12" fmla="*/ 1007269 h 1851821"/>
            <a:gd name="connsiteX13" fmla="*/ 2457090 w 4316511"/>
            <a:gd name="connsiteY13" fmla="*/ 1128714 h 1851821"/>
            <a:gd name="connsiteX14" fmla="*/ 2708489 w 4316511"/>
            <a:gd name="connsiteY14" fmla="*/ 1214438 h 1851821"/>
            <a:gd name="connsiteX15" fmla="*/ 2983608 w 4316511"/>
            <a:gd name="connsiteY15" fmla="*/ 1290638 h 1851821"/>
            <a:gd name="connsiteX16" fmla="*/ 3201807 w 4316511"/>
            <a:gd name="connsiteY16" fmla="*/ 1331118 h 1851821"/>
            <a:gd name="connsiteX17" fmla="*/ 3484038 w 4316511"/>
            <a:gd name="connsiteY17" fmla="*/ 1404937 h 1851821"/>
            <a:gd name="connsiteX18" fmla="*/ 3593137 w 4316511"/>
            <a:gd name="connsiteY18" fmla="*/ 1400175 h 1851821"/>
            <a:gd name="connsiteX19" fmla="*/ 3808963 w 4316511"/>
            <a:gd name="connsiteY19" fmla="*/ 1464468 h 1851821"/>
            <a:gd name="connsiteX20" fmla="*/ 4242986 w 4316511"/>
            <a:gd name="connsiteY20" fmla="*/ 1564482 h 1851821"/>
            <a:gd name="connsiteX21" fmla="*/ 4316511 w 4316511"/>
            <a:gd name="connsiteY21" fmla="*/ 1590677 h 1851821"/>
            <a:gd name="connsiteX22" fmla="*/ 4309298 w 4316511"/>
            <a:gd name="connsiteY22" fmla="*/ 1797845 h 1851821"/>
            <a:gd name="connsiteX23" fmla="*/ 4162348 w 4316511"/>
            <a:gd name="connsiteY23" fmla="*/ 1759746 h 1851821"/>
            <a:gd name="connsiteX24" fmla="*/ 4122030 w 4316511"/>
            <a:gd name="connsiteY24" fmla="*/ 1764509 h 1851821"/>
            <a:gd name="connsiteX25" fmla="*/ 3965496 w 4316511"/>
            <a:gd name="connsiteY25" fmla="*/ 1728790 h 1851821"/>
            <a:gd name="connsiteX26" fmla="*/ 3929919 w 4316511"/>
            <a:gd name="connsiteY26" fmla="*/ 1724027 h 1851821"/>
            <a:gd name="connsiteX27" fmla="*/ 3763901 w 4316511"/>
            <a:gd name="connsiteY27" fmla="*/ 1695452 h 1851821"/>
            <a:gd name="connsiteX28" fmla="*/ 3725953 w 4316511"/>
            <a:gd name="connsiteY28" fmla="*/ 1693071 h 1851821"/>
            <a:gd name="connsiteX29" fmla="*/ 3552819 w 4316511"/>
            <a:gd name="connsiteY29" fmla="*/ 1662115 h 1851821"/>
            <a:gd name="connsiteX30" fmla="*/ 3531474 w 4316511"/>
            <a:gd name="connsiteY30" fmla="*/ 1659733 h 1851821"/>
            <a:gd name="connsiteX31" fmla="*/ 3365454 w 4316511"/>
            <a:gd name="connsiteY31" fmla="*/ 1631159 h 1851821"/>
            <a:gd name="connsiteX32" fmla="*/ 3318020 w 4316511"/>
            <a:gd name="connsiteY32" fmla="*/ 1624015 h 1851821"/>
            <a:gd name="connsiteX33" fmla="*/ 3154372 w 4316511"/>
            <a:gd name="connsiteY33" fmla="*/ 1602584 h 1851821"/>
            <a:gd name="connsiteX34" fmla="*/ 3121169 w 4316511"/>
            <a:gd name="connsiteY34" fmla="*/ 1597821 h 1851821"/>
            <a:gd name="connsiteX35" fmla="*/ 2964635 w 4316511"/>
            <a:gd name="connsiteY35" fmla="*/ 1566865 h 1851821"/>
            <a:gd name="connsiteX36" fmla="*/ 2914829 w 4316511"/>
            <a:gd name="connsiteY36" fmla="*/ 1564484 h 1851821"/>
            <a:gd name="connsiteX37" fmla="*/ 2751181 w 4316511"/>
            <a:gd name="connsiteY37" fmla="*/ 1545434 h 1851821"/>
            <a:gd name="connsiteX38" fmla="*/ 2710862 w 4316511"/>
            <a:gd name="connsiteY38" fmla="*/ 1538290 h 1851821"/>
            <a:gd name="connsiteX39" fmla="*/ 2556702 w 4316511"/>
            <a:gd name="connsiteY39" fmla="*/ 1526384 h 1851821"/>
            <a:gd name="connsiteX40" fmla="*/ 2511639 w 4316511"/>
            <a:gd name="connsiteY40" fmla="*/ 1519240 h 1851821"/>
            <a:gd name="connsiteX41" fmla="*/ 2473692 w 4316511"/>
            <a:gd name="connsiteY41" fmla="*/ 1540671 h 1851821"/>
            <a:gd name="connsiteX42" fmla="*/ 2449973 w 4316511"/>
            <a:gd name="connsiteY42" fmla="*/ 1535909 h 1851821"/>
            <a:gd name="connsiteX43" fmla="*/ 2388310 w 4316511"/>
            <a:gd name="connsiteY43" fmla="*/ 1481140 h 1851821"/>
            <a:gd name="connsiteX44" fmla="*/ 2338504 w 4316511"/>
            <a:gd name="connsiteY44" fmla="*/ 1464471 h 1851821"/>
            <a:gd name="connsiteX45" fmla="*/ 2257866 w 4316511"/>
            <a:gd name="connsiteY45" fmla="*/ 1495428 h 1851821"/>
            <a:gd name="connsiteX46" fmla="*/ 2196202 w 4316511"/>
            <a:gd name="connsiteY46" fmla="*/ 1438277 h 1851821"/>
            <a:gd name="connsiteX47" fmla="*/ 2148427 w 4316511"/>
            <a:gd name="connsiteY47" fmla="*/ 1421607 h 1851821"/>
            <a:gd name="connsiteX48" fmla="*/ 2048194 w 4316511"/>
            <a:gd name="connsiteY48" fmla="*/ 1464470 h 1851821"/>
            <a:gd name="connsiteX49" fmla="*/ 1962291 w 4316511"/>
            <a:gd name="connsiteY49" fmla="*/ 1395414 h 1851821"/>
            <a:gd name="connsiteX50" fmla="*/ 1886299 w 4316511"/>
            <a:gd name="connsiteY50" fmla="*/ 1404939 h 1851821"/>
            <a:gd name="connsiteX51" fmla="*/ 1828758 w 4316511"/>
            <a:gd name="connsiteY51" fmla="*/ 1419227 h 1851821"/>
            <a:gd name="connsiteX52" fmla="*/ 1797754 w 4316511"/>
            <a:gd name="connsiteY52" fmla="*/ 1454947 h 1851821"/>
            <a:gd name="connsiteX53" fmla="*/ 1622248 w 4316511"/>
            <a:gd name="connsiteY53" fmla="*/ 1431134 h 1851821"/>
            <a:gd name="connsiteX54" fmla="*/ 1468087 w 4316511"/>
            <a:gd name="connsiteY54" fmla="*/ 1381126 h 1851821"/>
            <a:gd name="connsiteX55" fmla="*/ 1213101 w 4316511"/>
            <a:gd name="connsiteY55" fmla="*/ 1381127 h 1851821"/>
            <a:gd name="connsiteX56" fmla="*/ 763688 w 4316511"/>
            <a:gd name="connsiteY56" fmla="*/ 1285876 h 1851821"/>
            <a:gd name="connsiteX57" fmla="*/ 637859 w 4316511"/>
            <a:gd name="connsiteY57" fmla="*/ 1233489 h 1851821"/>
            <a:gd name="connsiteX58" fmla="*/ 404525 w 4316511"/>
            <a:gd name="connsiteY58" fmla="*/ 1216820 h 1851821"/>
            <a:gd name="connsiteX59" fmla="*/ 227685 w 4316511"/>
            <a:gd name="connsiteY59" fmla="*/ 1162052 h 1851821"/>
            <a:gd name="connsiteX60" fmla="*/ 0 w 4316511"/>
            <a:gd name="connsiteY60" fmla="*/ 1159670 h 1851821"/>
            <a:gd name="connsiteX61" fmla="*/ 15326 w 4316511"/>
            <a:gd name="connsiteY61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492667 w 4316511"/>
            <a:gd name="connsiteY4" fmla="*/ 754859 h 1851821"/>
            <a:gd name="connsiteX5" fmla="*/ 2449975 w 4316511"/>
            <a:gd name="connsiteY5" fmla="*/ 750096 h 1851821"/>
            <a:gd name="connsiteX6" fmla="*/ 2291072 w 4316511"/>
            <a:gd name="connsiteY6" fmla="*/ 714377 h 1851821"/>
            <a:gd name="connsiteX7" fmla="*/ 2243917 w 4316511"/>
            <a:gd name="connsiteY7" fmla="*/ 704850 h 1851821"/>
            <a:gd name="connsiteX8" fmla="*/ 2070351 w 4316511"/>
            <a:gd name="connsiteY8" fmla="*/ 673894 h 1851821"/>
            <a:gd name="connsiteX9" fmla="*/ 1947264 w 4316511"/>
            <a:gd name="connsiteY9" fmla="*/ 707233 h 1851821"/>
            <a:gd name="connsiteX10" fmla="*/ 1899741 w 4316511"/>
            <a:gd name="connsiteY10" fmla="*/ 723902 h 1851821"/>
            <a:gd name="connsiteX11" fmla="*/ 1861792 w 4316511"/>
            <a:gd name="connsiteY11" fmla="*/ 757240 h 1851821"/>
            <a:gd name="connsiteX12" fmla="*/ 1892625 w 4316511"/>
            <a:gd name="connsiteY12" fmla="*/ 835822 h 1851821"/>
            <a:gd name="connsiteX13" fmla="*/ 2181972 w 4316511"/>
            <a:gd name="connsiteY13" fmla="*/ 1007269 h 1851821"/>
            <a:gd name="connsiteX14" fmla="*/ 2457090 w 4316511"/>
            <a:gd name="connsiteY14" fmla="*/ 1128714 h 1851821"/>
            <a:gd name="connsiteX15" fmla="*/ 2708489 w 4316511"/>
            <a:gd name="connsiteY15" fmla="*/ 1214438 h 1851821"/>
            <a:gd name="connsiteX16" fmla="*/ 2983608 w 4316511"/>
            <a:gd name="connsiteY16" fmla="*/ 1290638 h 1851821"/>
            <a:gd name="connsiteX17" fmla="*/ 3201807 w 4316511"/>
            <a:gd name="connsiteY17" fmla="*/ 1331118 h 1851821"/>
            <a:gd name="connsiteX18" fmla="*/ 3484038 w 4316511"/>
            <a:gd name="connsiteY18" fmla="*/ 1404937 h 1851821"/>
            <a:gd name="connsiteX19" fmla="*/ 3593137 w 4316511"/>
            <a:gd name="connsiteY19" fmla="*/ 1400175 h 1851821"/>
            <a:gd name="connsiteX20" fmla="*/ 3808963 w 4316511"/>
            <a:gd name="connsiteY20" fmla="*/ 1464468 h 1851821"/>
            <a:gd name="connsiteX21" fmla="*/ 4242986 w 4316511"/>
            <a:gd name="connsiteY21" fmla="*/ 1564482 h 1851821"/>
            <a:gd name="connsiteX22" fmla="*/ 4316511 w 4316511"/>
            <a:gd name="connsiteY22" fmla="*/ 1590677 h 1851821"/>
            <a:gd name="connsiteX23" fmla="*/ 4309298 w 4316511"/>
            <a:gd name="connsiteY23" fmla="*/ 1797845 h 1851821"/>
            <a:gd name="connsiteX24" fmla="*/ 4162348 w 4316511"/>
            <a:gd name="connsiteY24" fmla="*/ 1759746 h 1851821"/>
            <a:gd name="connsiteX25" fmla="*/ 4122030 w 4316511"/>
            <a:gd name="connsiteY25" fmla="*/ 1764509 h 1851821"/>
            <a:gd name="connsiteX26" fmla="*/ 3965496 w 4316511"/>
            <a:gd name="connsiteY26" fmla="*/ 1728790 h 1851821"/>
            <a:gd name="connsiteX27" fmla="*/ 3929919 w 4316511"/>
            <a:gd name="connsiteY27" fmla="*/ 1724027 h 1851821"/>
            <a:gd name="connsiteX28" fmla="*/ 3763901 w 4316511"/>
            <a:gd name="connsiteY28" fmla="*/ 1695452 h 1851821"/>
            <a:gd name="connsiteX29" fmla="*/ 3725953 w 4316511"/>
            <a:gd name="connsiteY29" fmla="*/ 1693071 h 1851821"/>
            <a:gd name="connsiteX30" fmla="*/ 3552819 w 4316511"/>
            <a:gd name="connsiteY30" fmla="*/ 1662115 h 1851821"/>
            <a:gd name="connsiteX31" fmla="*/ 3531474 w 4316511"/>
            <a:gd name="connsiteY31" fmla="*/ 1659733 h 1851821"/>
            <a:gd name="connsiteX32" fmla="*/ 3365454 w 4316511"/>
            <a:gd name="connsiteY32" fmla="*/ 1631159 h 1851821"/>
            <a:gd name="connsiteX33" fmla="*/ 3318020 w 4316511"/>
            <a:gd name="connsiteY33" fmla="*/ 1624015 h 1851821"/>
            <a:gd name="connsiteX34" fmla="*/ 3154372 w 4316511"/>
            <a:gd name="connsiteY34" fmla="*/ 1602584 h 1851821"/>
            <a:gd name="connsiteX35" fmla="*/ 3121169 w 4316511"/>
            <a:gd name="connsiteY35" fmla="*/ 1597821 h 1851821"/>
            <a:gd name="connsiteX36" fmla="*/ 2964635 w 4316511"/>
            <a:gd name="connsiteY36" fmla="*/ 1566865 h 1851821"/>
            <a:gd name="connsiteX37" fmla="*/ 2914829 w 4316511"/>
            <a:gd name="connsiteY37" fmla="*/ 1564484 h 1851821"/>
            <a:gd name="connsiteX38" fmla="*/ 2751181 w 4316511"/>
            <a:gd name="connsiteY38" fmla="*/ 1545434 h 1851821"/>
            <a:gd name="connsiteX39" fmla="*/ 2710862 w 4316511"/>
            <a:gd name="connsiteY39" fmla="*/ 1538290 h 1851821"/>
            <a:gd name="connsiteX40" fmla="*/ 2556702 w 4316511"/>
            <a:gd name="connsiteY40" fmla="*/ 1526384 h 1851821"/>
            <a:gd name="connsiteX41" fmla="*/ 2511639 w 4316511"/>
            <a:gd name="connsiteY41" fmla="*/ 1519240 h 1851821"/>
            <a:gd name="connsiteX42" fmla="*/ 2473692 w 4316511"/>
            <a:gd name="connsiteY42" fmla="*/ 1540671 h 1851821"/>
            <a:gd name="connsiteX43" fmla="*/ 2449973 w 4316511"/>
            <a:gd name="connsiteY43" fmla="*/ 1535909 h 1851821"/>
            <a:gd name="connsiteX44" fmla="*/ 2388310 w 4316511"/>
            <a:gd name="connsiteY44" fmla="*/ 1481140 h 1851821"/>
            <a:gd name="connsiteX45" fmla="*/ 2338504 w 4316511"/>
            <a:gd name="connsiteY45" fmla="*/ 1464471 h 1851821"/>
            <a:gd name="connsiteX46" fmla="*/ 2257866 w 4316511"/>
            <a:gd name="connsiteY46" fmla="*/ 1495428 h 1851821"/>
            <a:gd name="connsiteX47" fmla="*/ 2196202 w 4316511"/>
            <a:gd name="connsiteY47" fmla="*/ 1438277 h 1851821"/>
            <a:gd name="connsiteX48" fmla="*/ 2148427 w 4316511"/>
            <a:gd name="connsiteY48" fmla="*/ 1421607 h 1851821"/>
            <a:gd name="connsiteX49" fmla="*/ 2048194 w 4316511"/>
            <a:gd name="connsiteY49" fmla="*/ 1464470 h 1851821"/>
            <a:gd name="connsiteX50" fmla="*/ 1962291 w 4316511"/>
            <a:gd name="connsiteY50" fmla="*/ 1395414 h 1851821"/>
            <a:gd name="connsiteX51" fmla="*/ 1886299 w 4316511"/>
            <a:gd name="connsiteY51" fmla="*/ 1404939 h 1851821"/>
            <a:gd name="connsiteX52" fmla="*/ 1828758 w 4316511"/>
            <a:gd name="connsiteY52" fmla="*/ 1419227 h 1851821"/>
            <a:gd name="connsiteX53" fmla="*/ 1797754 w 4316511"/>
            <a:gd name="connsiteY53" fmla="*/ 1454947 h 1851821"/>
            <a:gd name="connsiteX54" fmla="*/ 1622248 w 4316511"/>
            <a:gd name="connsiteY54" fmla="*/ 1431134 h 1851821"/>
            <a:gd name="connsiteX55" fmla="*/ 1468087 w 4316511"/>
            <a:gd name="connsiteY55" fmla="*/ 1381126 h 1851821"/>
            <a:gd name="connsiteX56" fmla="*/ 1213101 w 4316511"/>
            <a:gd name="connsiteY56" fmla="*/ 1381127 h 1851821"/>
            <a:gd name="connsiteX57" fmla="*/ 763688 w 4316511"/>
            <a:gd name="connsiteY57" fmla="*/ 1285876 h 1851821"/>
            <a:gd name="connsiteX58" fmla="*/ 637859 w 4316511"/>
            <a:gd name="connsiteY58" fmla="*/ 1233489 h 1851821"/>
            <a:gd name="connsiteX59" fmla="*/ 404525 w 4316511"/>
            <a:gd name="connsiteY59" fmla="*/ 1216820 h 1851821"/>
            <a:gd name="connsiteX60" fmla="*/ 227685 w 4316511"/>
            <a:gd name="connsiteY60" fmla="*/ 1162052 h 1851821"/>
            <a:gd name="connsiteX61" fmla="*/ 0 w 4316511"/>
            <a:gd name="connsiteY61" fmla="*/ 1159670 h 1851821"/>
            <a:gd name="connsiteX62" fmla="*/ 15326 w 4316511"/>
            <a:gd name="connsiteY62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492667 w 4316511"/>
            <a:gd name="connsiteY5" fmla="*/ 754859 h 1851821"/>
            <a:gd name="connsiteX6" fmla="*/ 2449975 w 4316511"/>
            <a:gd name="connsiteY6" fmla="*/ 750096 h 1851821"/>
            <a:gd name="connsiteX7" fmla="*/ 2291072 w 4316511"/>
            <a:gd name="connsiteY7" fmla="*/ 714377 h 1851821"/>
            <a:gd name="connsiteX8" fmla="*/ 2243917 w 4316511"/>
            <a:gd name="connsiteY8" fmla="*/ 704850 h 1851821"/>
            <a:gd name="connsiteX9" fmla="*/ 2070351 w 4316511"/>
            <a:gd name="connsiteY9" fmla="*/ 673894 h 1851821"/>
            <a:gd name="connsiteX10" fmla="*/ 1947264 w 4316511"/>
            <a:gd name="connsiteY10" fmla="*/ 707233 h 1851821"/>
            <a:gd name="connsiteX11" fmla="*/ 1899741 w 4316511"/>
            <a:gd name="connsiteY11" fmla="*/ 723902 h 1851821"/>
            <a:gd name="connsiteX12" fmla="*/ 1861792 w 4316511"/>
            <a:gd name="connsiteY12" fmla="*/ 757240 h 1851821"/>
            <a:gd name="connsiteX13" fmla="*/ 1892625 w 4316511"/>
            <a:gd name="connsiteY13" fmla="*/ 835822 h 1851821"/>
            <a:gd name="connsiteX14" fmla="*/ 2181972 w 4316511"/>
            <a:gd name="connsiteY14" fmla="*/ 1007269 h 1851821"/>
            <a:gd name="connsiteX15" fmla="*/ 2457090 w 4316511"/>
            <a:gd name="connsiteY15" fmla="*/ 1128714 h 1851821"/>
            <a:gd name="connsiteX16" fmla="*/ 2708489 w 4316511"/>
            <a:gd name="connsiteY16" fmla="*/ 1214438 h 1851821"/>
            <a:gd name="connsiteX17" fmla="*/ 2983608 w 4316511"/>
            <a:gd name="connsiteY17" fmla="*/ 1290638 h 1851821"/>
            <a:gd name="connsiteX18" fmla="*/ 3201807 w 4316511"/>
            <a:gd name="connsiteY18" fmla="*/ 1331118 h 1851821"/>
            <a:gd name="connsiteX19" fmla="*/ 3484038 w 4316511"/>
            <a:gd name="connsiteY19" fmla="*/ 1404937 h 1851821"/>
            <a:gd name="connsiteX20" fmla="*/ 3593137 w 4316511"/>
            <a:gd name="connsiteY20" fmla="*/ 1400175 h 1851821"/>
            <a:gd name="connsiteX21" fmla="*/ 3808963 w 4316511"/>
            <a:gd name="connsiteY21" fmla="*/ 1464468 h 1851821"/>
            <a:gd name="connsiteX22" fmla="*/ 4242986 w 4316511"/>
            <a:gd name="connsiteY22" fmla="*/ 1564482 h 1851821"/>
            <a:gd name="connsiteX23" fmla="*/ 4316511 w 4316511"/>
            <a:gd name="connsiteY23" fmla="*/ 1590677 h 1851821"/>
            <a:gd name="connsiteX24" fmla="*/ 4309298 w 4316511"/>
            <a:gd name="connsiteY24" fmla="*/ 1797845 h 1851821"/>
            <a:gd name="connsiteX25" fmla="*/ 4162348 w 4316511"/>
            <a:gd name="connsiteY25" fmla="*/ 1759746 h 1851821"/>
            <a:gd name="connsiteX26" fmla="*/ 4122030 w 4316511"/>
            <a:gd name="connsiteY26" fmla="*/ 1764509 h 1851821"/>
            <a:gd name="connsiteX27" fmla="*/ 3965496 w 4316511"/>
            <a:gd name="connsiteY27" fmla="*/ 1728790 h 1851821"/>
            <a:gd name="connsiteX28" fmla="*/ 3929919 w 4316511"/>
            <a:gd name="connsiteY28" fmla="*/ 1724027 h 1851821"/>
            <a:gd name="connsiteX29" fmla="*/ 3763901 w 4316511"/>
            <a:gd name="connsiteY29" fmla="*/ 1695452 h 1851821"/>
            <a:gd name="connsiteX30" fmla="*/ 3725953 w 4316511"/>
            <a:gd name="connsiteY30" fmla="*/ 1693071 h 1851821"/>
            <a:gd name="connsiteX31" fmla="*/ 3552819 w 4316511"/>
            <a:gd name="connsiteY31" fmla="*/ 1662115 h 1851821"/>
            <a:gd name="connsiteX32" fmla="*/ 3531474 w 4316511"/>
            <a:gd name="connsiteY32" fmla="*/ 1659733 h 1851821"/>
            <a:gd name="connsiteX33" fmla="*/ 3365454 w 4316511"/>
            <a:gd name="connsiteY33" fmla="*/ 1631159 h 1851821"/>
            <a:gd name="connsiteX34" fmla="*/ 3318020 w 4316511"/>
            <a:gd name="connsiteY34" fmla="*/ 1624015 h 1851821"/>
            <a:gd name="connsiteX35" fmla="*/ 3154372 w 4316511"/>
            <a:gd name="connsiteY35" fmla="*/ 1602584 h 1851821"/>
            <a:gd name="connsiteX36" fmla="*/ 3121169 w 4316511"/>
            <a:gd name="connsiteY36" fmla="*/ 1597821 h 1851821"/>
            <a:gd name="connsiteX37" fmla="*/ 2964635 w 4316511"/>
            <a:gd name="connsiteY37" fmla="*/ 1566865 h 1851821"/>
            <a:gd name="connsiteX38" fmla="*/ 2914829 w 4316511"/>
            <a:gd name="connsiteY38" fmla="*/ 1564484 h 1851821"/>
            <a:gd name="connsiteX39" fmla="*/ 2751181 w 4316511"/>
            <a:gd name="connsiteY39" fmla="*/ 1545434 h 1851821"/>
            <a:gd name="connsiteX40" fmla="*/ 2710862 w 4316511"/>
            <a:gd name="connsiteY40" fmla="*/ 1538290 h 1851821"/>
            <a:gd name="connsiteX41" fmla="*/ 2556702 w 4316511"/>
            <a:gd name="connsiteY41" fmla="*/ 1526384 h 1851821"/>
            <a:gd name="connsiteX42" fmla="*/ 2511639 w 4316511"/>
            <a:gd name="connsiteY42" fmla="*/ 1519240 h 1851821"/>
            <a:gd name="connsiteX43" fmla="*/ 2473692 w 4316511"/>
            <a:gd name="connsiteY43" fmla="*/ 1540671 h 1851821"/>
            <a:gd name="connsiteX44" fmla="*/ 2449973 w 4316511"/>
            <a:gd name="connsiteY44" fmla="*/ 1535909 h 1851821"/>
            <a:gd name="connsiteX45" fmla="*/ 2388310 w 4316511"/>
            <a:gd name="connsiteY45" fmla="*/ 1481140 h 1851821"/>
            <a:gd name="connsiteX46" fmla="*/ 2338504 w 4316511"/>
            <a:gd name="connsiteY46" fmla="*/ 1464471 h 1851821"/>
            <a:gd name="connsiteX47" fmla="*/ 2257866 w 4316511"/>
            <a:gd name="connsiteY47" fmla="*/ 1495428 h 1851821"/>
            <a:gd name="connsiteX48" fmla="*/ 2196202 w 4316511"/>
            <a:gd name="connsiteY48" fmla="*/ 1438277 h 1851821"/>
            <a:gd name="connsiteX49" fmla="*/ 2148427 w 4316511"/>
            <a:gd name="connsiteY49" fmla="*/ 1421607 h 1851821"/>
            <a:gd name="connsiteX50" fmla="*/ 2048194 w 4316511"/>
            <a:gd name="connsiteY50" fmla="*/ 1464470 h 1851821"/>
            <a:gd name="connsiteX51" fmla="*/ 1962291 w 4316511"/>
            <a:gd name="connsiteY51" fmla="*/ 1395414 h 1851821"/>
            <a:gd name="connsiteX52" fmla="*/ 1886299 w 4316511"/>
            <a:gd name="connsiteY52" fmla="*/ 1404939 h 1851821"/>
            <a:gd name="connsiteX53" fmla="*/ 1828758 w 4316511"/>
            <a:gd name="connsiteY53" fmla="*/ 1419227 h 1851821"/>
            <a:gd name="connsiteX54" fmla="*/ 1797754 w 4316511"/>
            <a:gd name="connsiteY54" fmla="*/ 1454947 h 1851821"/>
            <a:gd name="connsiteX55" fmla="*/ 1622248 w 4316511"/>
            <a:gd name="connsiteY55" fmla="*/ 1431134 h 1851821"/>
            <a:gd name="connsiteX56" fmla="*/ 1468087 w 4316511"/>
            <a:gd name="connsiteY56" fmla="*/ 1381126 h 1851821"/>
            <a:gd name="connsiteX57" fmla="*/ 1213101 w 4316511"/>
            <a:gd name="connsiteY57" fmla="*/ 1381127 h 1851821"/>
            <a:gd name="connsiteX58" fmla="*/ 763688 w 4316511"/>
            <a:gd name="connsiteY58" fmla="*/ 1285876 h 1851821"/>
            <a:gd name="connsiteX59" fmla="*/ 637859 w 4316511"/>
            <a:gd name="connsiteY59" fmla="*/ 1233489 h 1851821"/>
            <a:gd name="connsiteX60" fmla="*/ 404525 w 4316511"/>
            <a:gd name="connsiteY60" fmla="*/ 1216820 h 1851821"/>
            <a:gd name="connsiteX61" fmla="*/ 227685 w 4316511"/>
            <a:gd name="connsiteY61" fmla="*/ 1162052 h 1851821"/>
            <a:gd name="connsiteX62" fmla="*/ 0 w 4316511"/>
            <a:gd name="connsiteY62" fmla="*/ 1159670 h 1851821"/>
            <a:gd name="connsiteX63" fmla="*/ 15326 w 4316511"/>
            <a:gd name="connsiteY63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70933 w 4316511"/>
            <a:gd name="connsiteY5" fmla="*/ 773909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291072 w 4316511"/>
            <a:gd name="connsiteY8" fmla="*/ 714377 h 1851821"/>
            <a:gd name="connsiteX9" fmla="*/ 2243917 w 4316511"/>
            <a:gd name="connsiteY9" fmla="*/ 704850 h 1851821"/>
            <a:gd name="connsiteX10" fmla="*/ 2070351 w 4316511"/>
            <a:gd name="connsiteY10" fmla="*/ 673894 h 1851821"/>
            <a:gd name="connsiteX11" fmla="*/ 1947264 w 4316511"/>
            <a:gd name="connsiteY11" fmla="*/ 707233 h 1851821"/>
            <a:gd name="connsiteX12" fmla="*/ 1899741 w 4316511"/>
            <a:gd name="connsiteY12" fmla="*/ 723902 h 1851821"/>
            <a:gd name="connsiteX13" fmla="*/ 1861792 w 4316511"/>
            <a:gd name="connsiteY13" fmla="*/ 757240 h 1851821"/>
            <a:gd name="connsiteX14" fmla="*/ 1892625 w 4316511"/>
            <a:gd name="connsiteY14" fmla="*/ 835822 h 1851821"/>
            <a:gd name="connsiteX15" fmla="*/ 2181972 w 4316511"/>
            <a:gd name="connsiteY15" fmla="*/ 1007269 h 1851821"/>
            <a:gd name="connsiteX16" fmla="*/ 2457090 w 4316511"/>
            <a:gd name="connsiteY16" fmla="*/ 1128714 h 1851821"/>
            <a:gd name="connsiteX17" fmla="*/ 2708489 w 4316511"/>
            <a:gd name="connsiteY17" fmla="*/ 1214438 h 1851821"/>
            <a:gd name="connsiteX18" fmla="*/ 2983608 w 4316511"/>
            <a:gd name="connsiteY18" fmla="*/ 1290638 h 1851821"/>
            <a:gd name="connsiteX19" fmla="*/ 3201807 w 4316511"/>
            <a:gd name="connsiteY19" fmla="*/ 1331118 h 1851821"/>
            <a:gd name="connsiteX20" fmla="*/ 3484038 w 4316511"/>
            <a:gd name="connsiteY20" fmla="*/ 1404937 h 1851821"/>
            <a:gd name="connsiteX21" fmla="*/ 3593137 w 4316511"/>
            <a:gd name="connsiteY21" fmla="*/ 1400175 h 1851821"/>
            <a:gd name="connsiteX22" fmla="*/ 3808963 w 4316511"/>
            <a:gd name="connsiteY22" fmla="*/ 1464468 h 1851821"/>
            <a:gd name="connsiteX23" fmla="*/ 4242986 w 4316511"/>
            <a:gd name="connsiteY23" fmla="*/ 1564482 h 1851821"/>
            <a:gd name="connsiteX24" fmla="*/ 4316511 w 4316511"/>
            <a:gd name="connsiteY24" fmla="*/ 1590677 h 1851821"/>
            <a:gd name="connsiteX25" fmla="*/ 4309298 w 4316511"/>
            <a:gd name="connsiteY25" fmla="*/ 1797845 h 1851821"/>
            <a:gd name="connsiteX26" fmla="*/ 4162348 w 4316511"/>
            <a:gd name="connsiteY26" fmla="*/ 1759746 h 1851821"/>
            <a:gd name="connsiteX27" fmla="*/ 4122030 w 4316511"/>
            <a:gd name="connsiteY27" fmla="*/ 1764509 h 1851821"/>
            <a:gd name="connsiteX28" fmla="*/ 3965496 w 4316511"/>
            <a:gd name="connsiteY28" fmla="*/ 1728790 h 1851821"/>
            <a:gd name="connsiteX29" fmla="*/ 3929919 w 4316511"/>
            <a:gd name="connsiteY29" fmla="*/ 1724027 h 1851821"/>
            <a:gd name="connsiteX30" fmla="*/ 3763901 w 4316511"/>
            <a:gd name="connsiteY30" fmla="*/ 1695452 h 1851821"/>
            <a:gd name="connsiteX31" fmla="*/ 3725953 w 4316511"/>
            <a:gd name="connsiteY31" fmla="*/ 1693071 h 1851821"/>
            <a:gd name="connsiteX32" fmla="*/ 3552819 w 4316511"/>
            <a:gd name="connsiteY32" fmla="*/ 1662115 h 1851821"/>
            <a:gd name="connsiteX33" fmla="*/ 3531474 w 4316511"/>
            <a:gd name="connsiteY33" fmla="*/ 1659733 h 1851821"/>
            <a:gd name="connsiteX34" fmla="*/ 3365454 w 4316511"/>
            <a:gd name="connsiteY34" fmla="*/ 1631159 h 1851821"/>
            <a:gd name="connsiteX35" fmla="*/ 3318020 w 4316511"/>
            <a:gd name="connsiteY35" fmla="*/ 1624015 h 1851821"/>
            <a:gd name="connsiteX36" fmla="*/ 3154372 w 4316511"/>
            <a:gd name="connsiteY36" fmla="*/ 1602584 h 1851821"/>
            <a:gd name="connsiteX37" fmla="*/ 3121169 w 4316511"/>
            <a:gd name="connsiteY37" fmla="*/ 1597821 h 1851821"/>
            <a:gd name="connsiteX38" fmla="*/ 2964635 w 4316511"/>
            <a:gd name="connsiteY38" fmla="*/ 1566865 h 1851821"/>
            <a:gd name="connsiteX39" fmla="*/ 2914829 w 4316511"/>
            <a:gd name="connsiteY39" fmla="*/ 1564484 h 1851821"/>
            <a:gd name="connsiteX40" fmla="*/ 2751181 w 4316511"/>
            <a:gd name="connsiteY40" fmla="*/ 1545434 h 1851821"/>
            <a:gd name="connsiteX41" fmla="*/ 2710862 w 4316511"/>
            <a:gd name="connsiteY41" fmla="*/ 1538290 h 1851821"/>
            <a:gd name="connsiteX42" fmla="*/ 2556702 w 4316511"/>
            <a:gd name="connsiteY42" fmla="*/ 1526384 h 1851821"/>
            <a:gd name="connsiteX43" fmla="*/ 2511639 w 4316511"/>
            <a:gd name="connsiteY43" fmla="*/ 1519240 h 1851821"/>
            <a:gd name="connsiteX44" fmla="*/ 2473692 w 4316511"/>
            <a:gd name="connsiteY44" fmla="*/ 1540671 h 1851821"/>
            <a:gd name="connsiteX45" fmla="*/ 2449973 w 4316511"/>
            <a:gd name="connsiteY45" fmla="*/ 1535909 h 1851821"/>
            <a:gd name="connsiteX46" fmla="*/ 2388310 w 4316511"/>
            <a:gd name="connsiteY46" fmla="*/ 1481140 h 1851821"/>
            <a:gd name="connsiteX47" fmla="*/ 2338504 w 4316511"/>
            <a:gd name="connsiteY47" fmla="*/ 1464471 h 1851821"/>
            <a:gd name="connsiteX48" fmla="*/ 2257866 w 4316511"/>
            <a:gd name="connsiteY48" fmla="*/ 1495428 h 1851821"/>
            <a:gd name="connsiteX49" fmla="*/ 2196202 w 4316511"/>
            <a:gd name="connsiteY49" fmla="*/ 1438277 h 1851821"/>
            <a:gd name="connsiteX50" fmla="*/ 2148427 w 4316511"/>
            <a:gd name="connsiteY50" fmla="*/ 1421607 h 1851821"/>
            <a:gd name="connsiteX51" fmla="*/ 2048194 w 4316511"/>
            <a:gd name="connsiteY51" fmla="*/ 1464470 h 1851821"/>
            <a:gd name="connsiteX52" fmla="*/ 1962291 w 4316511"/>
            <a:gd name="connsiteY52" fmla="*/ 1395414 h 1851821"/>
            <a:gd name="connsiteX53" fmla="*/ 1886299 w 4316511"/>
            <a:gd name="connsiteY53" fmla="*/ 1404939 h 1851821"/>
            <a:gd name="connsiteX54" fmla="*/ 1828758 w 4316511"/>
            <a:gd name="connsiteY54" fmla="*/ 1419227 h 1851821"/>
            <a:gd name="connsiteX55" fmla="*/ 1797754 w 4316511"/>
            <a:gd name="connsiteY55" fmla="*/ 1454947 h 1851821"/>
            <a:gd name="connsiteX56" fmla="*/ 1622248 w 4316511"/>
            <a:gd name="connsiteY56" fmla="*/ 1431134 h 1851821"/>
            <a:gd name="connsiteX57" fmla="*/ 1468087 w 4316511"/>
            <a:gd name="connsiteY57" fmla="*/ 1381126 h 1851821"/>
            <a:gd name="connsiteX58" fmla="*/ 1213101 w 4316511"/>
            <a:gd name="connsiteY58" fmla="*/ 1381127 h 1851821"/>
            <a:gd name="connsiteX59" fmla="*/ 763688 w 4316511"/>
            <a:gd name="connsiteY59" fmla="*/ 1285876 h 1851821"/>
            <a:gd name="connsiteX60" fmla="*/ 637859 w 4316511"/>
            <a:gd name="connsiteY60" fmla="*/ 1233489 h 1851821"/>
            <a:gd name="connsiteX61" fmla="*/ 404525 w 4316511"/>
            <a:gd name="connsiteY61" fmla="*/ 1216820 h 1851821"/>
            <a:gd name="connsiteX62" fmla="*/ 227685 w 4316511"/>
            <a:gd name="connsiteY62" fmla="*/ 1162052 h 1851821"/>
            <a:gd name="connsiteX63" fmla="*/ 0 w 4316511"/>
            <a:gd name="connsiteY63" fmla="*/ 1159670 h 1851821"/>
            <a:gd name="connsiteX64" fmla="*/ 15326 w 4316511"/>
            <a:gd name="connsiteY64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291072 w 4316511"/>
            <a:gd name="connsiteY8" fmla="*/ 714377 h 1851821"/>
            <a:gd name="connsiteX9" fmla="*/ 2243917 w 4316511"/>
            <a:gd name="connsiteY9" fmla="*/ 704850 h 1851821"/>
            <a:gd name="connsiteX10" fmla="*/ 2070351 w 4316511"/>
            <a:gd name="connsiteY10" fmla="*/ 673894 h 1851821"/>
            <a:gd name="connsiteX11" fmla="*/ 1947264 w 4316511"/>
            <a:gd name="connsiteY11" fmla="*/ 707233 h 1851821"/>
            <a:gd name="connsiteX12" fmla="*/ 1899741 w 4316511"/>
            <a:gd name="connsiteY12" fmla="*/ 723902 h 1851821"/>
            <a:gd name="connsiteX13" fmla="*/ 1861792 w 4316511"/>
            <a:gd name="connsiteY13" fmla="*/ 757240 h 1851821"/>
            <a:gd name="connsiteX14" fmla="*/ 1892625 w 4316511"/>
            <a:gd name="connsiteY14" fmla="*/ 835822 h 1851821"/>
            <a:gd name="connsiteX15" fmla="*/ 2181972 w 4316511"/>
            <a:gd name="connsiteY15" fmla="*/ 1007269 h 1851821"/>
            <a:gd name="connsiteX16" fmla="*/ 2457090 w 4316511"/>
            <a:gd name="connsiteY16" fmla="*/ 1128714 h 1851821"/>
            <a:gd name="connsiteX17" fmla="*/ 2708489 w 4316511"/>
            <a:gd name="connsiteY17" fmla="*/ 1214438 h 1851821"/>
            <a:gd name="connsiteX18" fmla="*/ 2983608 w 4316511"/>
            <a:gd name="connsiteY18" fmla="*/ 1290638 h 1851821"/>
            <a:gd name="connsiteX19" fmla="*/ 3201807 w 4316511"/>
            <a:gd name="connsiteY19" fmla="*/ 1331118 h 1851821"/>
            <a:gd name="connsiteX20" fmla="*/ 3484038 w 4316511"/>
            <a:gd name="connsiteY20" fmla="*/ 1404937 h 1851821"/>
            <a:gd name="connsiteX21" fmla="*/ 3593137 w 4316511"/>
            <a:gd name="connsiteY21" fmla="*/ 1400175 h 1851821"/>
            <a:gd name="connsiteX22" fmla="*/ 3808963 w 4316511"/>
            <a:gd name="connsiteY22" fmla="*/ 1464468 h 1851821"/>
            <a:gd name="connsiteX23" fmla="*/ 4242986 w 4316511"/>
            <a:gd name="connsiteY23" fmla="*/ 1564482 h 1851821"/>
            <a:gd name="connsiteX24" fmla="*/ 4316511 w 4316511"/>
            <a:gd name="connsiteY24" fmla="*/ 1590677 h 1851821"/>
            <a:gd name="connsiteX25" fmla="*/ 4309298 w 4316511"/>
            <a:gd name="connsiteY25" fmla="*/ 1797845 h 1851821"/>
            <a:gd name="connsiteX26" fmla="*/ 4162348 w 4316511"/>
            <a:gd name="connsiteY26" fmla="*/ 1759746 h 1851821"/>
            <a:gd name="connsiteX27" fmla="*/ 4122030 w 4316511"/>
            <a:gd name="connsiteY27" fmla="*/ 1764509 h 1851821"/>
            <a:gd name="connsiteX28" fmla="*/ 3965496 w 4316511"/>
            <a:gd name="connsiteY28" fmla="*/ 1728790 h 1851821"/>
            <a:gd name="connsiteX29" fmla="*/ 3929919 w 4316511"/>
            <a:gd name="connsiteY29" fmla="*/ 1724027 h 1851821"/>
            <a:gd name="connsiteX30" fmla="*/ 3763901 w 4316511"/>
            <a:gd name="connsiteY30" fmla="*/ 1695452 h 1851821"/>
            <a:gd name="connsiteX31" fmla="*/ 3725953 w 4316511"/>
            <a:gd name="connsiteY31" fmla="*/ 1693071 h 1851821"/>
            <a:gd name="connsiteX32" fmla="*/ 3552819 w 4316511"/>
            <a:gd name="connsiteY32" fmla="*/ 1662115 h 1851821"/>
            <a:gd name="connsiteX33" fmla="*/ 3531474 w 4316511"/>
            <a:gd name="connsiteY33" fmla="*/ 1659733 h 1851821"/>
            <a:gd name="connsiteX34" fmla="*/ 3365454 w 4316511"/>
            <a:gd name="connsiteY34" fmla="*/ 1631159 h 1851821"/>
            <a:gd name="connsiteX35" fmla="*/ 3318020 w 4316511"/>
            <a:gd name="connsiteY35" fmla="*/ 1624015 h 1851821"/>
            <a:gd name="connsiteX36" fmla="*/ 3154372 w 4316511"/>
            <a:gd name="connsiteY36" fmla="*/ 1602584 h 1851821"/>
            <a:gd name="connsiteX37" fmla="*/ 3121169 w 4316511"/>
            <a:gd name="connsiteY37" fmla="*/ 1597821 h 1851821"/>
            <a:gd name="connsiteX38" fmla="*/ 2964635 w 4316511"/>
            <a:gd name="connsiteY38" fmla="*/ 1566865 h 1851821"/>
            <a:gd name="connsiteX39" fmla="*/ 2914829 w 4316511"/>
            <a:gd name="connsiteY39" fmla="*/ 1564484 h 1851821"/>
            <a:gd name="connsiteX40" fmla="*/ 2751181 w 4316511"/>
            <a:gd name="connsiteY40" fmla="*/ 1545434 h 1851821"/>
            <a:gd name="connsiteX41" fmla="*/ 2710862 w 4316511"/>
            <a:gd name="connsiteY41" fmla="*/ 1538290 h 1851821"/>
            <a:gd name="connsiteX42" fmla="*/ 2556702 w 4316511"/>
            <a:gd name="connsiteY42" fmla="*/ 1526384 h 1851821"/>
            <a:gd name="connsiteX43" fmla="*/ 2511639 w 4316511"/>
            <a:gd name="connsiteY43" fmla="*/ 1519240 h 1851821"/>
            <a:gd name="connsiteX44" fmla="*/ 2473692 w 4316511"/>
            <a:gd name="connsiteY44" fmla="*/ 1540671 h 1851821"/>
            <a:gd name="connsiteX45" fmla="*/ 2449973 w 4316511"/>
            <a:gd name="connsiteY45" fmla="*/ 1535909 h 1851821"/>
            <a:gd name="connsiteX46" fmla="*/ 2388310 w 4316511"/>
            <a:gd name="connsiteY46" fmla="*/ 1481140 h 1851821"/>
            <a:gd name="connsiteX47" fmla="*/ 2338504 w 4316511"/>
            <a:gd name="connsiteY47" fmla="*/ 1464471 h 1851821"/>
            <a:gd name="connsiteX48" fmla="*/ 2257866 w 4316511"/>
            <a:gd name="connsiteY48" fmla="*/ 1495428 h 1851821"/>
            <a:gd name="connsiteX49" fmla="*/ 2196202 w 4316511"/>
            <a:gd name="connsiteY49" fmla="*/ 1438277 h 1851821"/>
            <a:gd name="connsiteX50" fmla="*/ 2148427 w 4316511"/>
            <a:gd name="connsiteY50" fmla="*/ 1421607 h 1851821"/>
            <a:gd name="connsiteX51" fmla="*/ 2048194 w 4316511"/>
            <a:gd name="connsiteY51" fmla="*/ 1464470 h 1851821"/>
            <a:gd name="connsiteX52" fmla="*/ 1962291 w 4316511"/>
            <a:gd name="connsiteY52" fmla="*/ 1395414 h 1851821"/>
            <a:gd name="connsiteX53" fmla="*/ 1886299 w 4316511"/>
            <a:gd name="connsiteY53" fmla="*/ 1404939 h 1851821"/>
            <a:gd name="connsiteX54" fmla="*/ 1828758 w 4316511"/>
            <a:gd name="connsiteY54" fmla="*/ 1419227 h 1851821"/>
            <a:gd name="connsiteX55" fmla="*/ 1797754 w 4316511"/>
            <a:gd name="connsiteY55" fmla="*/ 1454947 h 1851821"/>
            <a:gd name="connsiteX56" fmla="*/ 1622248 w 4316511"/>
            <a:gd name="connsiteY56" fmla="*/ 1431134 h 1851821"/>
            <a:gd name="connsiteX57" fmla="*/ 1468087 w 4316511"/>
            <a:gd name="connsiteY57" fmla="*/ 1381126 h 1851821"/>
            <a:gd name="connsiteX58" fmla="*/ 1213101 w 4316511"/>
            <a:gd name="connsiteY58" fmla="*/ 1381127 h 1851821"/>
            <a:gd name="connsiteX59" fmla="*/ 763688 w 4316511"/>
            <a:gd name="connsiteY59" fmla="*/ 1285876 h 1851821"/>
            <a:gd name="connsiteX60" fmla="*/ 637859 w 4316511"/>
            <a:gd name="connsiteY60" fmla="*/ 1233489 h 1851821"/>
            <a:gd name="connsiteX61" fmla="*/ 404525 w 4316511"/>
            <a:gd name="connsiteY61" fmla="*/ 1216820 h 1851821"/>
            <a:gd name="connsiteX62" fmla="*/ 227685 w 4316511"/>
            <a:gd name="connsiteY62" fmla="*/ 1162052 h 1851821"/>
            <a:gd name="connsiteX63" fmla="*/ 0 w 4316511"/>
            <a:gd name="connsiteY63" fmla="*/ 1159670 h 1851821"/>
            <a:gd name="connsiteX64" fmla="*/ 15326 w 4316511"/>
            <a:gd name="connsiteY64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78825 w 4316511"/>
            <a:gd name="connsiteY8" fmla="*/ 733427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070351 w 4316511"/>
            <a:gd name="connsiteY11" fmla="*/ 673894 h 1851821"/>
            <a:gd name="connsiteX12" fmla="*/ 1947264 w 4316511"/>
            <a:gd name="connsiteY12" fmla="*/ 707233 h 1851821"/>
            <a:gd name="connsiteX13" fmla="*/ 1899741 w 4316511"/>
            <a:gd name="connsiteY13" fmla="*/ 723902 h 1851821"/>
            <a:gd name="connsiteX14" fmla="*/ 1861792 w 4316511"/>
            <a:gd name="connsiteY14" fmla="*/ 757240 h 1851821"/>
            <a:gd name="connsiteX15" fmla="*/ 1892625 w 4316511"/>
            <a:gd name="connsiteY15" fmla="*/ 835822 h 1851821"/>
            <a:gd name="connsiteX16" fmla="*/ 2181972 w 4316511"/>
            <a:gd name="connsiteY16" fmla="*/ 1007269 h 1851821"/>
            <a:gd name="connsiteX17" fmla="*/ 2457090 w 4316511"/>
            <a:gd name="connsiteY17" fmla="*/ 1128714 h 1851821"/>
            <a:gd name="connsiteX18" fmla="*/ 2708489 w 4316511"/>
            <a:gd name="connsiteY18" fmla="*/ 1214438 h 1851821"/>
            <a:gd name="connsiteX19" fmla="*/ 2983608 w 4316511"/>
            <a:gd name="connsiteY19" fmla="*/ 1290638 h 1851821"/>
            <a:gd name="connsiteX20" fmla="*/ 3201807 w 4316511"/>
            <a:gd name="connsiteY20" fmla="*/ 1331118 h 1851821"/>
            <a:gd name="connsiteX21" fmla="*/ 3484038 w 4316511"/>
            <a:gd name="connsiteY21" fmla="*/ 1404937 h 1851821"/>
            <a:gd name="connsiteX22" fmla="*/ 3593137 w 4316511"/>
            <a:gd name="connsiteY22" fmla="*/ 1400175 h 1851821"/>
            <a:gd name="connsiteX23" fmla="*/ 3808963 w 4316511"/>
            <a:gd name="connsiteY23" fmla="*/ 1464468 h 1851821"/>
            <a:gd name="connsiteX24" fmla="*/ 4242986 w 4316511"/>
            <a:gd name="connsiteY24" fmla="*/ 1564482 h 1851821"/>
            <a:gd name="connsiteX25" fmla="*/ 4316511 w 4316511"/>
            <a:gd name="connsiteY25" fmla="*/ 1590677 h 1851821"/>
            <a:gd name="connsiteX26" fmla="*/ 4309298 w 4316511"/>
            <a:gd name="connsiteY26" fmla="*/ 1797845 h 1851821"/>
            <a:gd name="connsiteX27" fmla="*/ 4162348 w 4316511"/>
            <a:gd name="connsiteY27" fmla="*/ 1759746 h 1851821"/>
            <a:gd name="connsiteX28" fmla="*/ 4122030 w 4316511"/>
            <a:gd name="connsiteY28" fmla="*/ 1764509 h 1851821"/>
            <a:gd name="connsiteX29" fmla="*/ 3965496 w 4316511"/>
            <a:gd name="connsiteY29" fmla="*/ 1728790 h 1851821"/>
            <a:gd name="connsiteX30" fmla="*/ 3929919 w 4316511"/>
            <a:gd name="connsiteY30" fmla="*/ 1724027 h 1851821"/>
            <a:gd name="connsiteX31" fmla="*/ 3763901 w 4316511"/>
            <a:gd name="connsiteY31" fmla="*/ 1695452 h 1851821"/>
            <a:gd name="connsiteX32" fmla="*/ 3725953 w 4316511"/>
            <a:gd name="connsiteY32" fmla="*/ 1693071 h 1851821"/>
            <a:gd name="connsiteX33" fmla="*/ 3552819 w 4316511"/>
            <a:gd name="connsiteY33" fmla="*/ 1662115 h 1851821"/>
            <a:gd name="connsiteX34" fmla="*/ 3531474 w 4316511"/>
            <a:gd name="connsiteY34" fmla="*/ 1659733 h 1851821"/>
            <a:gd name="connsiteX35" fmla="*/ 3365454 w 4316511"/>
            <a:gd name="connsiteY35" fmla="*/ 1631159 h 1851821"/>
            <a:gd name="connsiteX36" fmla="*/ 3318020 w 4316511"/>
            <a:gd name="connsiteY36" fmla="*/ 1624015 h 1851821"/>
            <a:gd name="connsiteX37" fmla="*/ 3154372 w 4316511"/>
            <a:gd name="connsiteY37" fmla="*/ 1602584 h 1851821"/>
            <a:gd name="connsiteX38" fmla="*/ 3121169 w 4316511"/>
            <a:gd name="connsiteY38" fmla="*/ 1597821 h 1851821"/>
            <a:gd name="connsiteX39" fmla="*/ 2964635 w 4316511"/>
            <a:gd name="connsiteY39" fmla="*/ 1566865 h 1851821"/>
            <a:gd name="connsiteX40" fmla="*/ 2914829 w 4316511"/>
            <a:gd name="connsiteY40" fmla="*/ 1564484 h 1851821"/>
            <a:gd name="connsiteX41" fmla="*/ 2751181 w 4316511"/>
            <a:gd name="connsiteY41" fmla="*/ 1545434 h 1851821"/>
            <a:gd name="connsiteX42" fmla="*/ 2710862 w 4316511"/>
            <a:gd name="connsiteY42" fmla="*/ 1538290 h 1851821"/>
            <a:gd name="connsiteX43" fmla="*/ 2556702 w 4316511"/>
            <a:gd name="connsiteY43" fmla="*/ 1526384 h 1851821"/>
            <a:gd name="connsiteX44" fmla="*/ 2511639 w 4316511"/>
            <a:gd name="connsiteY44" fmla="*/ 1519240 h 1851821"/>
            <a:gd name="connsiteX45" fmla="*/ 2473692 w 4316511"/>
            <a:gd name="connsiteY45" fmla="*/ 1540671 h 1851821"/>
            <a:gd name="connsiteX46" fmla="*/ 2449973 w 4316511"/>
            <a:gd name="connsiteY46" fmla="*/ 1535909 h 1851821"/>
            <a:gd name="connsiteX47" fmla="*/ 2388310 w 4316511"/>
            <a:gd name="connsiteY47" fmla="*/ 1481140 h 1851821"/>
            <a:gd name="connsiteX48" fmla="*/ 2338504 w 4316511"/>
            <a:gd name="connsiteY48" fmla="*/ 1464471 h 1851821"/>
            <a:gd name="connsiteX49" fmla="*/ 2257866 w 4316511"/>
            <a:gd name="connsiteY49" fmla="*/ 1495428 h 1851821"/>
            <a:gd name="connsiteX50" fmla="*/ 2196202 w 4316511"/>
            <a:gd name="connsiteY50" fmla="*/ 1438277 h 1851821"/>
            <a:gd name="connsiteX51" fmla="*/ 2148427 w 4316511"/>
            <a:gd name="connsiteY51" fmla="*/ 1421607 h 1851821"/>
            <a:gd name="connsiteX52" fmla="*/ 2048194 w 4316511"/>
            <a:gd name="connsiteY52" fmla="*/ 1464470 h 1851821"/>
            <a:gd name="connsiteX53" fmla="*/ 1962291 w 4316511"/>
            <a:gd name="connsiteY53" fmla="*/ 1395414 h 1851821"/>
            <a:gd name="connsiteX54" fmla="*/ 1886299 w 4316511"/>
            <a:gd name="connsiteY54" fmla="*/ 1404939 h 1851821"/>
            <a:gd name="connsiteX55" fmla="*/ 1828758 w 4316511"/>
            <a:gd name="connsiteY55" fmla="*/ 1419227 h 1851821"/>
            <a:gd name="connsiteX56" fmla="*/ 1797754 w 4316511"/>
            <a:gd name="connsiteY56" fmla="*/ 1454947 h 1851821"/>
            <a:gd name="connsiteX57" fmla="*/ 1622248 w 4316511"/>
            <a:gd name="connsiteY57" fmla="*/ 1431134 h 1851821"/>
            <a:gd name="connsiteX58" fmla="*/ 1468087 w 4316511"/>
            <a:gd name="connsiteY58" fmla="*/ 1381126 h 1851821"/>
            <a:gd name="connsiteX59" fmla="*/ 1213101 w 4316511"/>
            <a:gd name="connsiteY59" fmla="*/ 1381127 h 1851821"/>
            <a:gd name="connsiteX60" fmla="*/ 763688 w 4316511"/>
            <a:gd name="connsiteY60" fmla="*/ 1285876 h 1851821"/>
            <a:gd name="connsiteX61" fmla="*/ 637859 w 4316511"/>
            <a:gd name="connsiteY61" fmla="*/ 1233489 h 1851821"/>
            <a:gd name="connsiteX62" fmla="*/ 404525 w 4316511"/>
            <a:gd name="connsiteY62" fmla="*/ 1216820 h 1851821"/>
            <a:gd name="connsiteX63" fmla="*/ 227685 w 4316511"/>
            <a:gd name="connsiteY63" fmla="*/ 1162052 h 1851821"/>
            <a:gd name="connsiteX64" fmla="*/ 0 w 4316511"/>
            <a:gd name="connsiteY64" fmla="*/ 1159670 h 1851821"/>
            <a:gd name="connsiteX65" fmla="*/ 15326 w 4316511"/>
            <a:gd name="connsiteY65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070351 w 4316511"/>
            <a:gd name="connsiteY11" fmla="*/ 673894 h 1851821"/>
            <a:gd name="connsiteX12" fmla="*/ 1947264 w 4316511"/>
            <a:gd name="connsiteY12" fmla="*/ 707233 h 1851821"/>
            <a:gd name="connsiteX13" fmla="*/ 1899741 w 4316511"/>
            <a:gd name="connsiteY13" fmla="*/ 723902 h 1851821"/>
            <a:gd name="connsiteX14" fmla="*/ 1861792 w 4316511"/>
            <a:gd name="connsiteY14" fmla="*/ 757240 h 1851821"/>
            <a:gd name="connsiteX15" fmla="*/ 1892625 w 4316511"/>
            <a:gd name="connsiteY15" fmla="*/ 835822 h 1851821"/>
            <a:gd name="connsiteX16" fmla="*/ 2181972 w 4316511"/>
            <a:gd name="connsiteY16" fmla="*/ 1007269 h 1851821"/>
            <a:gd name="connsiteX17" fmla="*/ 2457090 w 4316511"/>
            <a:gd name="connsiteY17" fmla="*/ 1128714 h 1851821"/>
            <a:gd name="connsiteX18" fmla="*/ 2708489 w 4316511"/>
            <a:gd name="connsiteY18" fmla="*/ 1214438 h 1851821"/>
            <a:gd name="connsiteX19" fmla="*/ 2983608 w 4316511"/>
            <a:gd name="connsiteY19" fmla="*/ 1290638 h 1851821"/>
            <a:gd name="connsiteX20" fmla="*/ 3201807 w 4316511"/>
            <a:gd name="connsiteY20" fmla="*/ 1331118 h 1851821"/>
            <a:gd name="connsiteX21" fmla="*/ 3484038 w 4316511"/>
            <a:gd name="connsiteY21" fmla="*/ 1404937 h 1851821"/>
            <a:gd name="connsiteX22" fmla="*/ 3593137 w 4316511"/>
            <a:gd name="connsiteY22" fmla="*/ 1400175 h 1851821"/>
            <a:gd name="connsiteX23" fmla="*/ 3808963 w 4316511"/>
            <a:gd name="connsiteY23" fmla="*/ 1464468 h 1851821"/>
            <a:gd name="connsiteX24" fmla="*/ 4242986 w 4316511"/>
            <a:gd name="connsiteY24" fmla="*/ 1564482 h 1851821"/>
            <a:gd name="connsiteX25" fmla="*/ 4316511 w 4316511"/>
            <a:gd name="connsiteY25" fmla="*/ 1590677 h 1851821"/>
            <a:gd name="connsiteX26" fmla="*/ 4309298 w 4316511"/>
            <a:gd name="connsiteY26" fmla="*/ 1797845 h 1851821"/>
            <a:gd name="connsiteX27" fmla="*/ 4162348 w 4316511"/>
            <a:gd name="connsiteY27" fmla="*/ 1759746 h 1851821"/>
            <a:gd name="connsiteX28" fmla="*/ 4122030 w 4316511"/>
            <a:gd name="connsiteY28" fmla="*/ 1764509 h 1851821"/>
            <a:gd name="connsiteX29" fmla="*/ 3965496 w 4316511"/>
            <a:gd name="connsiteY29" fmla="*/ 1728790 h 1851821"/>
            <a:gd name="connsiteX30" fmla="*/ 3929919 w 4316511"/>
            <a:gd name="connsiteY30" fmla="*/ 1724027 h 1851821"/>
            <a:gd name="connsiteX31" fmla="*/ 3763901 w 4316511"/>
            <a:gd name="connsiteY31" fmla="*/ 1695452 h 1851821"/>
            <a:gd name="connsiteX32" fmla="*/ 3725953 w 4316511"/>
            <a:gd name="connsiteY32" fmla="*/ 1693071 h 1851821"/>
            <a:gd name="connsiteX33" fmla="*/ 3552819 w 4316511"/>
            <a:gd name="connsiteY33" fmla="*/ 1662115 h 1851821"/>
            <a:gd name="connsiteX34" fmla="*/ 3531474 w 4316511"/>
            <a:gd name="connsiteY34" fmla="*/ 1659733 h 1851821"/>
            <a:gd name="connsiteX35" fmla="*/ 3365454 w 4316511"/>
            <a:gd name="connsiteY35" fmla="*/ 1631159 h 1851821"/>
            <a:gd name="connsiteX36" fmla="*/ 3318020 w 4316511"/>
            <a:gd name="connsiteY36" fmla="*/ 1624015 h 1851821"/>
            <a:gd name="connsiteX37" fmla="*/ 3154372 w 4316511"/>
            <a:gd name="connsiteY37" fmla="*/ 1602584 h 1851821"/>
            <a:gd name="connsiteX38" fmla="*/ 3121169 w 4316511"/>
            <a:gd name="connsiteY38" fmla="*/ 1597821 h 1851821"/>
            <a:gd name="connsiteX39" fmla="*/ 2964635 w 4316511"/>
            <a:gd name="connsiteY39" fmla="*/ 1566865 h 1851821"/>
            <a:gd name="connsiteX40" fmla="*/ 2914829 w 4316511"/>
            <a:gd name="connsiteY40" fmla="*/ 1564484 h 1851821"/>
            <a:gd name="connsiteX41" fmla="*/ 2751181 w 4316511"/>
            <a:gd name="connsiteY41" fmla="*/ 1545434 h 1851821"/>
            <a:gd name="connsiteX42" fmla="*/ 2710862 w 4316511"/>
            <a:gd name="connsiteY42" fmla="*/ 1538290 h 1851821"/>
            <a:gd name="connsiteX43" fmla="*/ 2556702 w 4316511"/>
            <a:gd name="connsiteY43" fmla="*/ 1526384 h 1851821"/>
            <a:gd name="connsiteX44" fmla="*/ 2511639 w 4316511"/>
            <a:gd name="connsiteY44" fmla="*/ 1519240 h 1851821"/>
            <a:gd name="connsiteX45" fmla="*/ 2473692 w 4316511"/>
            <a:gd name="connsiteY45" fmla="*/ 1540671 h 1851821"/>
            <a:gd name="connsiteX46" fmla="*/ 2449973 w 4316511"/>
            <a:gd name="connsiteY46" fmla="*/ 1535909 h 1851821"/>
            <a:gd name="connsiteX47" fmla="*/ 2388310 w 4316511"/>
            <a:gd name="connsiteY47" fmla="*/ 1481140 h 1851821"/>
            <a:gd name="connsiteX48" fmla="*/ 2338504 w 4316511"/>
            <a:gd name="connsiteY48" fmla="*/ 1464471 h 1851821"/>
            <a:gd name="connsiteX49" fmla="*/ 2257866 w 4316511"/>
            <a:gd name="connsiteY49" fmla="*/ 1495428 h 1851821"/>
            <a:gd name="connsiteX50" fmla="*/ 2196202 w 4316511"/>
            <a:gd name="connsiteY50" fmla="*/ 1438277 h 1851821"/>
            <a:gd name="connsiteX51" fmla="*/ 2148427 w 4316511"/>
            <a:gd name="connsiteY51" fmla="*/ 1421607 h 1851821"/>
            <a:gd name="connsiteX52" fmla="*/ 2048194 w 4316511"/>
            <a:gd name="connsiteY52" fmla="*/ 1464470 h 1851821"/>
            <a:gd name="connsiteX53" fmla="*/ 1962291 w 4316511"/>
            <a:gd name="connsiteY53" fmla="*/ 1395414 h 1851821"/>
            <a:gd name="connsiteX54" fmla="*/ 1886299 w 4316511"/>
            <a:gd name="connsiteY54" fmla="*/ 1404939 h 1851821"/>
            <a:gd name="connsiteX55" fmla="*/ 1828758 w 4316511"/>
            <a:gd name="connsiteY55" fmla="*/ 1419227 h 1851821"/>
            <a:gd name="connsiteX56" fmla="*/ 1797754 w 4316511"/>
            <a:gd name="connsiteY56" fmla="*/ 1454947 h 1851821"/>
            <a:gd name="connsiteX57" fmla="*/ 1622248 w 4316511"/>
            <a:gd name="connsiteY57" fmla="*/ 1431134 h 1851821"/>
            <a:gd name="connsiteX58" fmla="*/ 1468087 w 4316511"/>
            <a:gd name="connsiteY58" fmla="*/ 1381126 h 1851821"/>
            <a:gd name="connsiteX59" fmla="*/ 1213101 w 4316511"/>
            <a:gd name="connsiteY59" fmla="*/ 1381127 h 1851821"/>
            <a:gd name="connsiteX60" fmla="*/ 763688 w 4316511"/>
            <a:gd name="connsiteY60" fmla="*/ 1285876 h 1851821"/>
            <a:gd name="connsiteX61" fmla="*/ 637859 w 4316511"/>
            <a:gd name="connsiteY61" fmla="*/ 1233489 h 1851821"/>
            <a:gd name="connsiteX62" fmla="*/ 404525 w 4316511"/>
            <a:gd name="connsiteY62" fmla="*/ 1216820 h 1851821"/>
            <a:gd name="connsiteX63" fmla="*/ 227685 w 4316511"/>
            <a:gd name="connsiteY63" fmla="*/ 1162052 h 1851821"/>
            <a:gd name="connsiteX64" fmla="*/ 0 w 4316511"/>
            <a:gd name="connsiteY64" fmla="*/ 1159670 h 1851821"/>
            <a:gd name="connsiteX65" fmla="*/ 15326 w 4316511"/>
            <a:gd name="connsiteY65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8256 w 4316511"/>
            <a:gd name="connsiteY11" fmla="*/ 688184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751181 w 4316511"/>
            <a:gd name="connsiteY42" fmla="*/ 1545434 h 1851821"/>
            <a:gd name="connsiteX43" fmla="*/ 2710862 w 4316511"/>
            <a:gd name="connsiteY43" fmla="*/ 1538290 h 1851821"/>
            <a:gd name="connsiteX44" fmla="*/ 2556702 w 4316511"/>
            <a:gd name="connsiteY44" fmla="*/ 1526384 h 1851821"/>
            <a:gd name="connsiteX45" fmla="*/ 2511639 w 4316511"/>
            <a:gd name="connsiteY45" fmla="*/ 1519240 h 1851821"/>
            <a:gd name="connsiteX46" fmla="*/ 2473692 w 4316511"/>
            <a:gd name="connsiteY46" fmla="*/ 1540671 h 1851821"/>
            <a:gd name="connsiteX47" fmla="*/ 2449973 w 4316511"/>
            <a:gd name="connsiteY47" fmla="*/ 1535909 h 1851821"/>
            <a:gd name="connsiteX48" fmla="*/ 2388310 w 4316511"/>
            <a:gd name="connsiteY48" fmla="*/ 1481140 h 1851821"/>
            <a:gd name="connsiteX49" fmla="*/ 2338504 w 4316511"/>
            <a:gd name="connsiteY49" fmla="*/ 1464471 h 1851821"/>
            <a:gd name="connsiteX50" fmla="*/ 2257866 w 4316511"/>
            <a:gd name="connsiteY50" fmla="*/ 1495428 h 1851821"/>
            <a:gd name="connsiteX51" fmla="*/ 2196202 w 4316511"/>
            <a:gd name="connsiteY51" fmla="*/ 1438277 h 1851821"/>
            <a:gd name="connsiteX52" fmla="*/ 2148427 w 4316511"/>
            <a:gd name="connsiteY52" fmla="*/ 1421607 h 1851821"/>
            <a:gd name="connsiteX53" fmla="*/ 2048194 w 4316511"/>
            <a:gd name="connsiteY53" fmla="*/ 1464470 h 1851821"/>
            <a:gd name="connsiteX54" fmla="*/ 1962291 w 4316511"/>
            <a:gd name="connsiteY54" fmla="*/ 1395414 h 1851821"/>
            <a:gd name="connsiteX55" fmla="*/ 1886299 w 4316511"/>
            <a:gd name="connsiteY55" fmla="*/ 1404939 h 1851821"/>
            <a:gd name="connsiteX56" fmla="*/ 1828758 w 4316511"/>
            <a:gd name="connsiteY56" fmla="*/ 1419227 h 1851821"/>
            <a:gd name="connsiteX57" fmla="*/ 1797754 w 4316511"/>
            <a:gd name="connsiteY57" fmla="*/ 1454947 h 1851821"/>
            <a:gd name="connsiteX58" fmla="*/ 1622248 w 4316511"/>
            <a:gd name="connsiteY58" fmla="*/ 1431134 h 1851821"/>
            <a:gd name="connsiteX59" fmla="*/ 1468087 w 4316511"/>
            <a:gd name="connsiteY59" fmla="*/ 1381126 h 1851821"/>
            <a:gd name="connsiteX60" fmla="*/ 1213101 w 4316511"/>
            <a:gd name="connsiteY60" fmla="*/ 1381127 h 1851821"/>
            <a:gd name="connsiteX61" fmla="*/ 763688 w 4316511"/>
            <a:gd name="connsiteY61" fmla="*/ 1285876 h 1851821"/>
            <a:gd name="connsiteX62" fmla="*/ 637859 w 4316511"/>
            <a:gd name="connsiteY62" fmla="*/ 1233489 h 1851821"/>
            <a:gd name="connsiteX63" fmla="*/ 404525 w 4316511"/>
            <a:gd name="connsiteY63" fmla="*/ 1216820 h 1851821"/>
            <a:gd name="connsiteX64" fmla="*/ 227685 w 4316511"/>
            <a:gd name="connsiteY64" fmla="*/ 1162052 h 1851821"/>
            <a:gd name="connsiteX65" fmla="*/ 0 w 4316511"/>
            <a:gd name="connsiteY65" fmla="*/ 1159670 h 1851821"/>
            <a:gd name="connsiteX66" fmla="*/ 15326 w 4316511"/>
            <a:gd name="connsiteY66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751181 w 4316511"/>
            <a:gd name="connsiteY42" fmla="*/ 1545434 h 1851821"/>
            <a:gd name="connsiteX43" fmla="*/ 2710862 w 4316511"/>
            <a:gd name="connsiteY43" fmla="*/ 1538290 h 1851821"/>
            <a:gd name="connsiteX44" fmla="*/ 2556702 w 4316511"/>
            <a:gd name="connsiteY44" fmla="*/ 1526384 h 1851821"/>
            <a:gd name="connsiteX45" fmla="*/ 2511639 w 4316511"/>
            <a:gd name="connsiteY45" fmla="*/ 1519240 h 1851821"/>
            <a:gd name="connsiteX46" fmla="*/ 2473692 w 4316511"/>
            <a:gd name="connsiteY46" fmla="*/ 1540671 h 1851821"/>
            <a:gd name="connsiteX47" fmla="*/ 2449973 w 4316511"/>
            <a:gd name="connsiteY47" fmla="*/ 1535909 h 1851821"/>
            <a:gd name="connsiteX48" fmla="*/ 2388310 w 4316511"/>
            <a:gd name="connsiteY48" fmla="*/ 1481140 h 1851821"/>
            <a:gd name="connsiteX49" fmla="*/ 2338504 w 4316511"/>
            <a:gd name="connsiteY49" fmla="*/ 1464471 h 1851821"/>
            <a:gd name="connsiteX50" fmla="*/ 2257866 w 4316511"/>
            <a:gd name="connsiteY50" fmla="*/ 1495428 h 1851821"/>
            <a:gd name="connsiteX51" fmla="*/ 2196202 w 4316511"/>
            <a:gd name="connsiteY51" fmla="*/ 1438277 h 1851821"/>
            <a:gd name="connsiteX52" fmla="*/ 2148427 w 4316511"/>
            <a:gd name="connsiteY52" fmla="*/ 1421607 h 1851821"/>
            <a:gd name="connsiteX53" fmla="*/ 2048194 w 4316511"/>
            <a:gd name="connsiteY53" fmla="*/ 1464470 h 1851821"/>
            <a:gd name="connsiteX54" fmla="*/ 1962291 w 4316511"/>
            <a:gd name="connsiteY54" fmla="*/ 1395414 h 1851821"/>
            <a:gd name="connsiteX55" fmla="*/ 1886299 w 4316511"/>
            <a:gd name="connsiteY55" fmla="*/ 1404939 h 1851821"/>
            <a:gd name="connsiteX56" fmla="*/ 1828758 w 4316511"/>
            <a:gd name="connsiteY56" fmla="*/ 1419227 h 1851821"/>
            <a:gd name="connsiteX57" fmla="*/ 1797754 w 4316511"/>
            <a:gd name="connsiteY57" fmla="*/ 1454947 h 1851821"/>
            <a:gd name="connsiteX58" fmla="*/ 1622248 w 4316511"/>
            <a:gd name="connsiteY58" fmla="*/ 1431134 h 1851821"/>
            <a:gd name="connsiteX59" fmla="*/ 1468087 w 4316511"/>
            <a:gd name="connsiteY59" fmla="*/ 1381126 h 1851821"/>
            <a:gd name="connsiteX60" fmla="*/ 1213101 w 4316511"/>
            <a:gd name="connsiteY60" fmla="*/ 1381127 h 1851821"/>
            <a:gd name="connsiteX61" fmla="*/ 763688 w 4316511"/>
            <a:gd name="connsiteY61" fmla="*/ 1285876 h 1851821"/>
            <a:gd name="connsiteX62" fmla="*/ 637859 w 4316511"/>
            <a:gd name="connsiteY62" fmla="*/ 1233489 h 1851821"/>
            <a:gd name="connsiteX63" fmla="*/ 404525 w 4316511"/>
            <a:gd name="connsiteY63" fmla="*/ 1216820 h 1851821"/>
            <a:gd name="connsiteX64" fmla="*/ 227685 w 4316511"/>
            <a:gd name="connsiteY64" fmla="*/ 1162052 h 1851821"/>
            <a:gd name="connsiteX65" fmla="*/ 0 w 4316511"/>
            <a:gd name="connsiteY65" fmla="*/ 1159670 h 1851821"/>
            <a:gd name="connsiteX66" fmla="*/ 15326 w 4316511"/>
            <a:gd name="connsiteY66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751181 w 4316511"/>
            <a:gd name="connsiteY42" fmla="*/ 1545434 h 1851821"/>
            <a:gd name="connsiteX43" fmla="*/ 2710862 w 4316511"/>
            <a:gd name="connsiteY43" fmla="*/ 1538290 h 1851821"/>
            <a:gd name="connsiteX44" fmla="*/ 2632598 w 4316511"/>
            <a:gd name="connsiteY44" fmla="*/ 1535909 h 1851821"/>
            <a:gd name="connsiteX45" fmla="*/ 2556702 w 4316511"/>
            <a:gd name="connsiteY45" fmla="*/ 1526384 h 1851821"/>
            <a:gd name="connsiteX46" fmla="*/ 2511639 w 4316511"/>
            <a:gd name="connsiteY46" fmla="*/ 1519240 h 1851821"/>
            <a:gd name="connsiteX47" fmla="*/ 2473692 w 4316511"/>
            <a:gd name="connsiteY47" fmla="*/ 1540671 h 1851821"/>
            <a:gd name="connsiteX48" fmla="*/ 2449973 w 4316511"/>
            <a:gd name="connsiteY48" fmla="*/ 1535909 h 1851821"/>
            <a:gd name="connsiteX49" fmla="*/ 2388310 w 4316511"/>
            <a:gd name="connsiteY49" fmla="*/ 1481140 h 1851821"/>
            <a:gd name="connsiteX50" fmla="*/ 2338504 w 4316511"/>
            <a:gd name="connsiteY50" fmla="*/ 1464471 h 1851821"/>
            <a:gd name="connsiteX51" fmla="*/ 2257866 w 4316511"/>
            <a:gd name="connsiteY51" fmla="*/ 1495428 h 1851821"/>
            <a:gd name="connsiteX52" fmla="*/ 2196202 w 4316511"/>
            <a:gd name="connsiteY52" fmla="*/ 1438277 h 1851821"/>
            <a:gd name="connsiteX53" fmla="*/ 2148427 w 4316511"/>
            <a:gd name="connsiteY53" fmla="*/ 1421607 h 1851821"/>
            <a:gd name="connsiteX54" fmla="*/ 2048194 w 4316511"/>
            <a:gd name="connsiteY54" fmla="*/ 1464470 h 1851821"/>
            <a:gd name="connsiteX55" fmla="*/ 1962291 w 4316511"/>
            <a:gd name="connsiteY55" fmla="*/ 1395414 h 1851821"/>
            <a:gd name="connsiteX56" fmla="*/ 1886299 w 4316511"/>
            <a:gd name="connsiteY56" fmla="*/ 1404939 h 1851821"/>
            <a:gd name="connsiteX57" fmla="*/ 1828758 w 4316511"/>
            <a:gd name="connsiteY57" fmla="*/ 1419227 h 1851821"/>
            <a:gd name="connsiteX58" fmla="*/ 1797754 w 4316511"/>
            <a:gd name="connsiteY58" fmla="*/ 1454947 h 1851821"/>
            <a:gd name="connsiteX59" fmla="*/ 1622248 w 4316511"/>
            <a:gd name="connsiteY59" fmla="*/ 1431134 h 1851821"/>
            <a:gd name="connsiteX60" fmla="*/ 1468087 w 4316511"/>
            <a:gd name="connsiteY60" fmla="*/ 1381126 h 1851821"/>
            <a:gd name="connsiteX61" fmla="*/ 1213101 w 4316511"/>
            <a:gd name="connsiteY61" fmla="*/ 1381127 h 1851821"/>
            <a:gd name="connsiteX62" fmla="*/ 763688 w 4316511"/>
            <a:gd name="connsiteY62" fmla="*/ 1285876 h 1851821"/>
            <a:gd name="connsiteX63" fmla="*/ 637859 w 4316511"/>
            <a:gd name="connsiteY63" fmla="*/ 1233489 h 1851821"/>
            <a:gd name="connsiteX64" fmla="*/ 404525 w 4316511"/>
            <a:gd name="connsiteY64" fmla="*/ 1216820 h 1851821"/>
            <a:gd name="connsiteX65" fmla="*/ 227685 w 4316511"/>
            <a:gd name="connsiteY65" fmla="*/ 1162052 h 1851821"/>
            <a:gd name="connsiteX66" fmla="*/ 0 w 4316511"/>
            <a:gd name="connsiteY66" fmla="*/ 1159670 h 1851821"/>
            <a:gd name="connsiteX67" fmla="*/ 15326 w 4316511"/>
            <a:gd name="connsiteY67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751181 w 4316511"/>
            <a:gd name="connsiteY42" fmla="*/ 1545434 h 1851821"/>
            <a:gd name="connsiteX43" fmla="*/ 2710862 w 4316511"/>
            <a:gd name="connsiteY43" fmla="*/ 1538290 h 1851821"/>
            <a:gd name="connsiteX44" fmla="*/ 2642084 w 4316511"/>
            <a:gd name="connsiteY44" fmla="*/ 1566865 h 1851821"/>
            <a:gd name="connsiteX45" fmla="*/ 2556702 w 4316511"/>
            <a:gd name="connsiteY45" fmla="*/ 1526384 h 1851821"/>
            <a:gd name="connsiteX46" fmla="*/ 2511639 w 4316511"/>
            <a:gd name="connsiteY46" fmla="*/ 1519240 h 1851821"/>
            <a:gd name="connsiteX47" fmla="*/ 2473692 w 4316511"/>
            <a:gd name="connsiteY47" fmla="*/ 1540671 h 1851821"/>
            <a:gd name="connsiteX48" fmla="*/ 2449973 w 4316511"/>
            <a:gd name="connsiteY48" fmla="*/ 1535909 h 1851821"/>
            <a:gd name="connsiteX49" fmla="*/ 2388310 w 4316511"/>
            <a:gd name="connsiteY49" fmla="*/ 1481140 h 1851821"/>
            <a:gd name="connsiteX50" fmla="*/ 2338504 w 4316511"/>
            <a:gd name="connsiteY50" fmla="*/ 1464471 h 1851821"/>
            <a:gd name="connsiteX51" fmla="*/ 2257866 w 4316511"/>
            <a:gd name="connsiteY51" fmla="*/ 1495428 h 1851821"/>
            <a:gd name="connsiteX52" fmla="*/ 2196202 w 4316511"/>
            <a:gd name="connsiteY52" fmla="*/ 1438277 h 1851821"/>
            <a:gd name="connsiteX53" fmla="*/ 2148427 w 4316511"/>
            <a:gd name="connsiteY53" fmla="*/ 1421607 h 1851821"/>
            <a:gd name="connsiteX54" fmla="*/ 2048194 w 4316511"/>
            <a:gd name="connsiteY54" fmla="*/ 1464470 h 1851821"/>
            <a:gd name="connsiteX55" fmla="*/ 1962291 w 4316511"/>
            <a:gd name="connsiteY55" fmla="*/ 1395414 h 1851821"/>
            <a:gd name="connsiteX56" fmla="*/ 1886299 w 4316511"/>
            <a:gd name="connsiteY56" fmla="*/ 1404939 h 1851821"/>
            <a:gd name="connsiteX57" fmla="*/ 1828758 w 4316511"/>
            <a:gd name="connsiteY57" fmla="*/ 1419227 h 1851821"/>
            <a:gd name="connsiteX58" fmla="*/ 1797754 w 4316511"/>
            <a:gd name="connsiteY58" fmla="*/ 1454947 h 1851821"/>
            <a:gd name="connsiteX59" fmla="*/ 1622248 w 4316511"/>
            <a:gd name="connsiteY59" fmla="*/ 1431134 h 1851821"/>
            <a:gd name="connsiteX60" fmla="*/ 1468087 w 4316511"/>
            <a:gd name="connsiteY60" fmla="*/ 1381126 h 1851821"/>
            <a:gd name="connsiteX61" fmla="*/ 1213101 w 4316511"/>
            <a:gd name="connsiteY61" fmla="*/ 1381127 h 1851821"/>
            <a:gd name="connsiteX62" fmla="*/ 763688 w 4316511"/>
            <a:gd name="connsiteY62" fmla="*/ 1285876 h 1851821"/>
            <a:gd name="connsiteX63" fmla="*/ 637859 w 4316511"/>
            <a:gd name="connsiteY63" fmla="*/ 1233489 h 1851821"/>
            <a:gd name="connsiteX64" fmla="*/ 404525 w 4316511"/>
            <a:gd name="connsiteY64" fmla="*/ 1216820 h 1851821"/>
            <a:gd name="connsiteX65" fmla="*/ 227685 w 4316511"/>
            <a:gd name="connsiteY65" fmla="*/ 1162052 h 1851821"/>
            <a:gd name="connsiteX66" fmla="*/ 0 w 4316511"/>
            <a:gd name="connsiteY66" fmla="*/ 1159670 h 1851821"/>
            <a:gd name="connsiteX67" fmla="*/ 15326 w 4316511"/>
            <a:gd name="connsiteY67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838936 w 4316511"/>
            <a:gd name="connsiteY42" fmla="*/ 1552577 h 1851821"/>
            <a:gd name="connsiteX43" fmla="*/ 2751181 w 4316511"/>
            <a:gd name="connsiteY43" fmla="*/ 1545434 h 1851821"/>
            <a:gd name="connsiteX44" fmla="*/ 2710862 w 4316511"/>
            <a:gd name="connsiteY44" fmla="*/ 1538290 h 1851821"/>
            <a:gd name="connsiteX45" fmla="*/ 2642084 w 4316511"/>
            <a:gd name="connsiteY45" fmla="*/ 1566865 h 1851821"/>
            <a:gd name="connsiteX46" fmla="*/ 2556702 w 4316511"/>
            <a:gd name="connsiteY46" fmla="*/ 1526384 h 1851821"/>
            <a:gd name="connsiteX47" fmla="*/ 2511639 w 4316511"/>
            <a:gd name="connsiteY47" fmla="*/ 1519240 h 1851821"/>
            <a:gd name="connsiteX48" fmla="*/ 2473692 w 4316511"/>
            <a:gd name="connsiteY48" fmla="*/ 1540671 h 1851821"/>
            <a:gd name="connsiteX49" fmla="*/ 2449973 w 4316511"/>
            <a:gd name="connsiteY49" fmla="*/ 1535909 h 1851821"/>
            <a:gd name="connsiteX50" fmla="*/ 2388310 w 4316511"/>
            <a:gd name="connsiteY50" fmla="*/ 1481140 h 1851821"/>
            <a:gd name="connsiteX51" fmla="*/ 2338504 w 4316511"/>
            <a:gd name="connsiteY51" fmla="*/ 1464471 h 1851821"/>
            <a:gd name="connsiteX52" fmla="*/ 2257866 w 4316511"/>
            <a:gd name="connsiteY52" fmla="*/ 1495428 h 1851821"/>
            <a:gd name="connsiteX53" fmla="*/ 2196202 w 4316511"/>
            <a:gd name="connsiteY53" fmla="*/ 1438277 h 1851821"/>
            <a:gd name="connsiteX54" fmla="*/ 2148427 w 4316511"/>
            <a:gd name="connsiteY54" fmla="*/ 1421607 h 1851821"/>
            <a:gd name="connsiteX55" fmla="*/ 2048194 w 4316511"/>
            <a:gd name="connsiteY55" fmla="*/ 1464470 h 1851821"/>
            <a:gd name="connsiteX56" fmla="*/ 1962291 w 4316511"/>
            <a:gd name="connsiteY56" fmla="*/ 1395414 h 1851821"/>
            <a:gd name="connsiteX57" fmla="*/ 1886299 w 4316511"/>
            <a:gd name="connsiteY57" fmla="*/ 1404939 h 1851821"/>
            <a:gd name="connsiteX58" fmla="*/ 1828758 w 4316511"/>
            <a:gd name="connsiteY58" fmla="*/ 1419227 h 1851821"/>
            <a:gd name="connsiteX59" fmla="*/ 1797754 w 4316511"/>
            <a:gd name="connsiteY59" fmla="*/ 1454947 h 1851821"/>
            <a:gd name="connsiteX60" fmla="*/ 1622248 w 4316511"/>
            <a:gd name="connsiteY60" fmla="*/ 1431134 h 1851821"/>
            <a:gd name="connsiteX61" fmla="*/ 1468087 w 4316511"/>
            <a:gd name="connsiteY61" fmla="*/ 1381126 h 1851821"/>
            <a:gd name="connsiteX62" fmla="*/ 1213101 w 4316511"/>
            <a:gd name="connsiteY62" fmla="*/ 1381127 h 1851821"/>
            <a:gd name="connsiteX63" fmla="*/ 763688 w 4316511"/>
            <a:gd name="connsiteY63" fmla="*/ 1285876 h 1851821"/>
            <a:gd name="connsiteX64" fmla="*/ 637859 w 4316511"/>
            <a:gd name="connsiteY64" fmla="*/ 1233489 h 1851821"/>
            <a:gd name="connsiteX65" fmla="*/ 404525 w 4316511"/>
            <a:gd name="connsiteY65" fmla="*/ 1216820 h 1851821"/>
            <a:gd name="connsiteX66" fmla="*/ 227685 w 4316511"/>
            <a:gd name="connsiteY66" fmla="*/ 1162052 h 1851821"/>
            <a:gd name="connsiteX67" fmla="*/ 0 w 4316511"/>
            <a:gd name="connsiteY67" fmla="*/ 1159670 h 1851821"/>
            <a:gd name="connsiteX68" fmla="*/ 15326 w 4316511"/>
            <a:gd name="connsiteY6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2964635 w 4316511"/>
            <a:gd name="connsiteY40" fmla="*/ 1566865 h 1851821"/>
            <a:gd name="connsiteX41" fmla="*/ 2914829 w 4316511"/>
            <a:gd name="connsiteY41" fmla="*/ 1564484 h 1851821"/>
            <a:gd name="connsiteX42" fmla="*/ 2834193 w 4316511"/>
            <a:gd name="connsiteY42" fmla="*/ 1604965 h 1851821"/>
            <a:gd name="connsiteX43" fmla="*/ 2751181 w 4316511"/>
            <a:gd name="connsiteY43" fmla="*/ 1545434 h 1851821"/>
            <a:gd name="connsiteX44" fmla="*/ 2710862 w 4316511"/>
            <a:gd name="connsiteY44" fmla="*/ 1538290 h 1851821"/>
            <a:gd name="connsiteX45" fmla="*/ 2642084 w 4316511"/>
            <a:gd name="connsiteY45" fmla="*/ 1566865 h 1851821"/>
            <a:gd name="connsiteX46" fmla="*/ 2556702 w 4316511"/>
            <a:gd name="connsiteY46" fmla="*/ 1526384 h 1851821"/>
            <a:gd name="connsiteX47" fmla="*/ 2511639 w 4316511"/>
            <a:gd name="connsiteY47" fmla="*/ 1519240 h 1851821"/>
            <a:gd name="connsiteX48" fmla="*/ 2473692 w 4316511"/>
            <a:gd name="connsiteY48" fmla="*/ 1540671 h 1851821"/>
            <a:gd name="connsiteX49" fmla="*/ 2449973 w 4316511"/>
            <a:gd name="connsiteY49" fmla="*/ 1535909 h 1851821"/>
            <a:gd name="connsiteX50" fmla="*/ 2388310 w 4316511"/>
            <a:gd name="connsiteY50" fmla="*/ 1481140 h 1851821"/>
            <a:gd name="connsiteX51" fmla="*/ 2338504 w 4316511"/>
            <a:gd name="connsiteY51" fmla="*/ 1464471 h 1851821"/>
            <a:gd name="connsiteX52" fmla="*/ 2257866 w 4316511"/>
            <a:gd name="connsiteY52" fmla="*/ 1495428 h 1851821"/>
            <a:gd name="connsiteX53" fmla="*/ 2196202 w 4316511"/>
            <a:gd name="connsiteY53" fmla="*/ 1438277 h 1851821"/>
            <a:gd name="connsiteX54" fmla="*/ 2148427 w 4316511"/>
            <a:gd name="connsiteY54" fmla="*/ 1421607 h 1851821"/>
            <a:gd name="connsiteX55" fmla="*/ 2048194 w 4316511"/>
            <a:gd name="connsiteY55" fmla="*/ 1464470 h 1851821"/>
            <a:gd name="connsiteX56" fmla="*/ 1962291 w 4316511"/>
            <a:gd name="connsiteY56" fmla="*/ 1395414 h 1851821"/>
            <a:gd name="connsiteX57" fmla="*/ 1886299 w 4316511"/>
            <a:gd name="connsiteY57" fmla="*/ 1404939 h 1851821"/>
            <a:gd name="connsiteX58" fmla="*/ 1828758 w 4316511"/>
            <a:gd name="connsiteY58" fmla="*/ 1419227 h 1851821"/>
            <a:gd name="connsiteX59" fmla="*/ 1797754 w 4316511"/>
            <a:gd name="connsiteY59" fmla="*/ 1454947 h 1851821"/>
            <a:gd name="connsiteX60" fmla="*/ 1622248 w 4316511"/>
            <a:gd name="connsiteY60" fmla="*/ 1431134 h 1851821"/>
            <a:gd name="connsiteX61" fmla="*/ 1468087 w 4316511"/>
            <a:gd name="connsiteY61" fmla="*/ 1381126 h 1851821"/>
            <a:gd name="connsiteX62" fmla="*/ 1213101 w 4316511"/>
            <a:gd name="connsiteY62" fmla="*/ 1381127 h 1851821"/>
            <a:gd name="connsiteX63" fmla="*/ 763688 w 4316511"/>
            <a:gd name="connsiteY63" fmla="*/ 1285876 h 1851821"/>
            <a:gd name="connsiteX64" fmla="*/ 637859 w 4316511"/>
            <a:gd name="connsiteY64" fmla="*/ 1233489 h 1851821"/>
            <a:gd name="connsiteX65" fmla="*/ 404525 w 4316511"/>
            <a:gd name="connsiteY65" fmla="*/ 1216820 h 1851821"/>
            <a:gd name="connsiteX66" fmla="*/ 227685 w 4316511"/>
            <a:gd name="connsiteY66" fmla="*/ 1162052 h 1851821"/>
            <a:gd name="connsiteX67" fmla="*/ 0 w 4316511"/>
            <a:gd name="connsiteY67" fmla="*/ 1159670 h 1851821"/>
            <a:gd name="connsiteX68" fmla="*/ 15326 w 4316511"/>
            <a:gd name="connsiteY68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3050018 w 4316511"/>
            <a:gd name="connsiteY40" fmla="*/ 1583534 h 1851821"/>
            <a:gd name="connsiteX41" fmla="*/ 2964635 w 4316511"/>
            <a:gd name="connsiteY41" fmla="*/ 1566865 h 1851821"/>
            <a:gd name="connsiteX42" fmla="*/ 2914829 w 4316511"/>
            <a:gd name="connsiteY42" fmla="*/ 1564484 h 1851821"/>
            <a:gd name="connsiteX43" fmla="*/ 2834193 w 4316511"/>
            <a:gd name="connsiteY43" fmla="*/ 1604965 h 1851821"/>
            <a:gd name="connsiteX44" fmla="*/ 2751181 w 4316511"/>
            <a:gd name="connsiteY44" fmla="*/ 1545434 h 1851821"/>
            <a:gd name="connsiteX45" fmla="*/ 2710862 w 4316511"/>
            <a:gd name="connsiteY45" fmla="*/ 1538290 h 1851821"/>
            <a:gd name="connsiteX46" fmla="*/ 2642084 w 4316511"/>
            <a:gd name="connsiteY46" fmla="*/ 1566865 h 1851821"/>
            <a:gd name="connsiteX47" fmla="*/ 2556702 w 4316511"/>
            <a:gd name="connsiteY47" fmla="*/ 1526384 h 1851821"/>
            <a:gd name="connsiteX48" fmla="*/ 2511639 w 4316511"/>
            <a:gd name="connsiteY48" fmla="*/ 1519240 h 1851821"/>
            <a:gd name="connsiteX49" fmla="*/ 2473692 w 4316511"/>
            <a:gd name="connsiteY49" fmla="*/ 1540671 h 1851821"/>
            <a:gd name="connsiteX50" fmla="*/ 2449973 w 4316511"/>
            <a:gd name="connsiteY50" fmla="*/ 1535909 h 1851821"/>
            <a:gd name="connsiteX51" fmla="*/ 2388310 w 4316511"/>
            <a:gd name="connsiteY51" fmla="*/ 1481140 h 1851821"/>
            <a:gd name="connsiteX52" fmla="*/ 2338504 w 4316511"/>
            <a:gd name="connsiteY52" fmla="*/ 1464471 h 1851821"/>
            <a:gd name="connsiteX53" fmla="*/ 2257866 w 4316511"/>
            <a:gd name="connsiteY53" fmla="*/ 1495428 h 1851821"/>
            <a:gd name="connsiteX54" fmla="*/ 2196202 w 4316511"/>
            <a:gd name="connsiteY54" fmla="*/ 1438277 h 1851821"/>
            <a:gd name="connsiteX55" fmla="*/ 2148427 w 4316511"/>
            <a:gd name="connsiteY55" fmla="*/ 1421607 h 1851821"/>
            <a:gd name="connsiteX56" fmla="*/ 2048194 w 4316511"/>
            <a:gd name="connsiteY56" fmla="*/ 1464470 h 1851821"/>
            <a:gd name="connsiteX57" fmla="*/ 1962291 w 4316511"/>
            <a:gd name="connsiteY57" fmla="*/ 1395414 h 1851821"/>
            <a:gd name="connsiteX58" fmla="*/ 1886299 w 4316511"/>
            <a:gd name="connsiteY58" fmla="*/ 1404939 h 1851821"/>
            <a:gd name="connsiteX59" fmla="*/ 1828758 w 4316511"/>
            <a:gd name="connsiteY59" fmla="*/ 1419227 h 1851821"/>
            <a:gd name="connsiteX60" fmla="*/ 1797754 w 4316511"/>
            <a:gd name="connsiteY60" fmla="*/ 1454947 h 1851821"/>
            <a:gd name="connsiteX61" fmla="*/ 1622248 w 4316511"/>
            <a:gd name="connsiteY61" fmla="*/ 1431134 h 1851821"/>
            <a:gd name="connsiteX62" fmla="*/ 1468087 w 4316511"/>
            <a:gd name="connsiteY62" fmla="*/ 1381126 h 1851821"/>
            <a:gd name="connsiteX63" fmla="*/ 1213101 w 4316511"/>
            <a:gd name="connsiteY63" fmla="*/ 1381127 h 1851821"/>
            <a:gd name="connsiteX64" fmla="*/ 763688 w 4316511"/>
            <a:gd name="connsiteY64" fmla="*/ 1285876 h 1851821"/>
            <a:gd name="connsiteX65" fmla="*/ 637859 w 4316511"/>
            <a:gd name="connsiteY65" fmla="*/ 1233489 h 1851821"/>
            <a:gd name="connsiteX66" fmla="*/ 404525 w 4316511"/>
            <a:gd name="connsiteY66" fmla="*/ 1216820 h 1851821"/>
            <a:gd name="connsiteX67" fmla="*/ 227685 w 4316511"/>
            <a:gd name="connsiteY67" fmla="*/ 1162052 h 1851821"/>
            <a:gd name="connsiteX68" fmla="*/ 0 w 4316511"/>
            <a:gd name="connsiteY68" fmla="*/ 1159670 h 1851821"/>
            <a:gd name="connsiteX69" fmla="*/ 15326 w 4316511"/>
            <a:gd name="connsiteY6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154372 w 4316511"/>
            <a:gd name="connsiteY38" fmla="*/ 1602584 h 1851821"/>
            <a:gd name="connsiteX39" fmla="*/ 3121169 w 4316511"/>
            <a:gd name="connsiteY39" fmla="*/ 1597821 h 1851821"/>
            <a:gd name="connsiteX40" fmla="*/ 3031045 w 4316511"/>
            <a:gd name="connsiteY40" fmla="*/ 1616871 h 1851821"/>
            <a:gd name="connsiteX41" fmla="*/ 2964635 w 4316511"/>
            <a:gd name="connsiteY41" fmla="*/ 1566865 h 1851821"/>
            <a:gd name="connsiteX42" fmla="*/ 2914829 w 4316511"/>
            <a:gd name="connsiteY42" fmla="*/ 1564484 h 1851821"/>
            <a:gd name="connsiteX43" fmla="*/ 2834193 w 4316511"/>
            <a:gd name="connsiteY43" fmla="*/ 1604965 h 1851821"/>
            <a:gd name="connsiteX44" fmla="*/ 2751181 w 4316511"/>
            <a:gd name="connsiteY44" fmla="*/ 1545434 h 1851821"/>
            <a:gd name="connsiteX45" fmla="*/ 2710862 w 4316511"/>
            <a:gd name="connsiteY45" fmla="*/ 1538290 h 1851821"/>
            <a:gd name="connsiteX46" fmla="*/ 2642084 w 4316511"/>
            <a:gd name="connsiteY46" fmla="*/ 1566865 h 1851821"/>
            <a:gd name="connsiteX47" fmla="*/ 2556702 w 4316511"/>
            <a:gd name="connsiteY47" fmla="*/ 1526384 h 1851821"/>
            <a:gd name="connsiteX48" fmla="*/ 2511639 w 4316511"/>
            <a:gd name="connsiteY48" fmla="*/ 1519240 h 1851821"/>
            <a:gd name="connsiteX49" fmla="*/ 2473692 w 4316511"/>
            <a:gd name="connsiteY49" fmla="*/ 1540671 h 1851821"/>
            <a:gd name="connsiteX50" fmla="*/ 2449973 w 4316511"/>
            <a:gd name="connsiteY50" fmla="*/ 1535909 h 1851821"/>
            <a:gd name="connsiteX51" fmla="*/ 2388310 w 4316511"/>
            <a:gd name="connsiteY51" fmla="*/ 1481140 h 1851821"/>
            <a:gd name="connsiteX52" fmla="*/ 2338504 w 4316511"/>
            <a:gd name="connsiteY52" fmla="*/ 1464471 h 1851821"/>
            <a:gd name="connsiteX53" fmla="*/ 2257866 w 4316511"/>
            <a:gd name="connsiteY53" fmla="*/ 1495428 h 1851821"/>
            <a:gd name="connsiteX54" fmla="*/ 2196202 w 4316511"/>
            <a:gd name="connsiteY54" fmla="*/ 1438277 h 1851821"/>
            <a:gd name="connsiteX55" fmla="*/ 2148427 w 4316511"/>
            <a:gd name="connsiteY55" fmla="*/ 1421607 h 1851821"/>
            <a:gd name="connsiteX56" fmla="*/ 2048194 w 4316511"/>
            <a:gd name="connsiteY56" fmla="*/ 1464470 h 1851821"/>
            <a:gd name="connsiteX57" fmla="*/ 1962291 w 4316511"/>
            <a:gd name="connsiteY57" fmla="*/ 1395414 h 1851821"/>
            <a:gd name="connsiteX58" fmla="*/ 1886299 w 4316511"/>
            <a:gd name="connsiteY58" fmla="*/ 1404939 h 1851821"/>
            <a:gd name="connsiteX59" fmla="*/ 1828758 w 4316511"/>
            <a:gd name="connsiteY59" fmla="*/ 1419227 h 1851821"/>
            <a:gd name="connsiteX60" fmla="*/ 1797754 w 4316511"/>
            <a:gd name="connsiteY60" fmla="*/ 1454947 h 1851821"/>
            <a:gd name="connsiteX61" fmla="*/ 1622248 w 4316511"/>
            <a:gd name="connsiteY61" fmla="*/ 1431134 h 1851821"/>
            <a:gd name="connsiteX62" fmla="*/ 1468087 w 4316511"/>
            <a:gd name="connsiteY62" fmla="*/ 1381126 h 1851821"/>
            <a:gd name="connsiteX63" fmla="*/ 1213101 w 4316511"/>
            <a:gd name="connsiteY63" fmla="*/ 1381127 h 1851821"/>
            <a:gd name="connsiteX64" fmla="*/ 763688 w 4316511"/>
            <a:gd name="connsiteY64" fmla="*/ 1285876 h 1851821"/>
            <a:gd name="connsiteX65" fmla="*/ 637859 w 4316511"/>
            <a:gd name="connsiteY65" fmla="*/ 1233489 h 1851821"/>
            <a:gd name="connsiteX66" fmla="*/ 404525 w 4316511"/>
            <a:gd name="connsiteY66" fmla="*/ 1216820 h 1851821"/>
            <a:gd name="connsiteX67" fmla="*/ 227685 w 4316511"/>
            <a:gd name="connsiteY67" fmla="*/ 1162052 h 1851821"/>
            <a:gd name="connsiteX68" fmla="*/ 0 w 4316511"/>
            <a:gd name="connsiteY68" fmla="*/ 1159670 h 1851821"/>
            <a:gd name="connsiteX69" fmla="*/ 15326 w 4316511"/>
            <a:gd name="connsiteY69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253985 w 4316511"/>
            <a:gd name="connsiteY38" fmla="*/ 1616871 h 1851821"/>
            <a:gd name="connsiteX39" fmla="*/ 3154372 w 4316511"/>
            <a:gd name="connsiteY39" fmla="*/ 1602584 h 1851821"/>
            <a:gd name="connsiteX40" fmla="*/ 3121169 w 4316511"/>
            <a:gd name="connsiteY40" fmla="*/ 1597821 h 1851821"/>
            <a:gd name="connsiteX41" fmla="*/ 3031045 w 4316511"/>
            <a:gd name="connsiteY41" fmla="*/ 1616871 h 1851821"/>
            <a:gd name="connsiteX42" fmla="*/ 2964635 w 4316511"/>
            <a:gd name="connsiteY42" fmla="*/ 1566865 h 1851821"/>
            <a:gd name="connsiteX43" fmla="*/ 2914829 w 4316511"/>
            <a:gd name="connsiteY43" fmla="*/ 1564484 h 1851821"/>
            <a:gd name="connsiteX44" fmla="*/ 2834193 w 4316511"/>
            <a:gd name="connsiteY44" fmla="*/ 1604965 h 1851821"/>
            <a:gd name="connsiteX45" fmla="*/ 2751181 w 4316511"/>
            <a:gd name="connsiteY45" fmla="*/ 1545434 h 1851821"/>
            <a:gd name="connsiteX46" fmla="*/ 2710862 w 4316511"/>
            <a:gd name="connsiteY46" fmla="*/ 1538290 h 1851821"/>
            <a:gd name="connsiteX47" fmla="*/ 2642084 w 4316511"/>
            <a:gd name="connsiteY47" fmla="*/ 1566865 h 1851821"/>
            <a:gd name="connsiteX48" fmla="*/ 2556702 w 4316511"/>
            <a:gd name="connsiteY48" fmla="*/ 1526384 h 1851821"/>
            <a:gd name="connsiteX49" fmla="*/ 2511639 w 4316511"/>
            <a:gd name="connsiteY49" fmla="*/ 1519240 h 1851821"/>
            <a:gd name="connsiteX50" fmla="*/ 2473692 w 4316511"/>
            <a:gd name="connsiteY50" fmla="*/ 1540671 h 1851821"/>
            <a:gd name="connsiteX51" fmla="*/ 2449973 w 4316511"/>
            <a:gd name="connsiteY51" fmla="*/ 1535909 h 1851821"/>
            <a:gd name="connsiteX52" fmla="*/ 2388310 w 4316511"/>
            <a:gd name="connsiteY52" fmla="*/ 1481140 h 1851821"/>
            <a:gd name="connsiteX53" fmla="*/ 2338504 w 4316511"/>
            <a:gd name="connsiteY53" fmla="*/ 1464471 h 1851821"/>
            <a:gd name="connsiteX54" fmla="*/ 2257866 w 4316511"/>
            <a:gd name="connsiteY54" fmla="*/ 1495428 h 1851821"/>
            <a:gd name="connsiteX55" fmla="*/ 2196202 w 4316511"/>
            <a:gd name="connsiteY55" fmla="*/ 1438277 h 1851821"/>
            <a:gd name="connsiteX56" fmla="*/ 2148427 w 4316511"/>
            <a:gd name="connsiteY56" fmla="*/ 1421607 h 1851821"/>
            <a:gd name="connsiteX57" fmla="*/ 2048194 w 4316511"/>
            <a:gd name="connsiteY57" fmla="*/ 1464470 h 1851821"/>
            <a:gd name="connsiteX58" fmla="*/ 1962291 w 4316511"/>
            <a:gd name="connsiteY58" fmla="*/ 1395414 h 1851821"/>
            <a:gd name="connsiteX59" fmla="*/ 1886299 w 4316511"/>
            <a:gd name="connsiteY59" fmla="*/ 1404939 h 1851821"/>
            <a:gd name="connsiteX60" fmla="*/ 1828758 w 4316511"/>
            <a:gd name="connsiteY60" fmla="*/ 1419227 h 1851821"/>
            <a:gd name="connsiteX61" fmla="*/ 1797754 w 4316511"/>
            <a:gd name="connsiteY61" fmla="*/ 1454947 h 1851821"/>
            <a:gd name="connsiteX62" fmla="*/ 1622248 w 4316511"/>
            <a:gd name="connsiteY62" fmla="*/ 1431134 h 1851821"/>
            <a:gd name="connsiteX63" fmla="*/ 1468087 w 4316511"/>
            <a:gd name="connsiteY63" fmla="*/ 1381126 h 1851821"/>
            <a:gd name="connsiteX64" fmla="*/ 1213101 w 4316511"/>
            <a:gd name="connsiteY64" fmla="*/ 1381127 h 1851821"/>
            <a:gd name="connsiteX65" fmla="*/ 763688 w 4316511"/>
            <a:gd name="connsiteY65" fmla="*/ 1285876 h 1851821"/>
            <a:gd name="connsiteX66" fmla="*/ 637859 w 4316511"/>
            <a:gd name="connsiteY66" fmla="*/ 1233489 h 1851821"/>
            <a:gd name="connsiteX67" fmla="*/ 404525 w 4316511"/>
            <a:gd name="connsiteY67" fmla="*/ 1216820 h 1851821"/>
            <a:gd name="connsiteX68" fmla="*/ 227685 w 4316511"/>
            <a:gd name="connsiteY68" fmla="*/ 1162052 h 1851821"/>
            <a:gd name="connsiteX69" fmla="*/ 0 w 4316511"/>
            <a:gd name="connsiteY69" fmla="*/ 1159670 h 1851821"/>
            <a:gd name="connsiteX70" fmla="*/ 15326 w 4316511"/>
            <a:gd name="connsiteY70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365454 w 4316511"/>
            <a:gd name="connsiteY36" fmla="*/ 1631159 h 1851821"/>
            <a:gd name="connsiteX37" fmla="*/ 3318020 w 4316511"/>
            <a:gd name="connsiteY37" fmla="*/ 1624015 h 1851821"/>
            <a:gd name="connsiteX38" fmla="*/ 3239755 w 4316511"/>
            <a:gd name="connsiteY38" fmla="*/ 1657352 h 1851821"/>
            <a:gd name="connsiteX39" fmla="*/ 3154372 w 4316511"/>
            <a:gd name="connsiteY39" fmla="*/ 1602584 h 1851821"/>
            <a:gd name="connsiteX40" fmla="*/ 3121169 w 4316511"/>
            <a:gd name="connsiteY40" fmla="*/ 1597821 h 1851821"/>
            <a:gd name="connsiteX41" fmla="*/ 3031045 w 4316511"/>
            <a:gd name="connsiteY41" fmla="*/ 1616871 h 1851821"/>
            <a:gd name="connsiteX42" fmla="*/ 2964635 w 4316511"/>
            <a:gd name="connsiteY42" fmla="*/ 1566865 h 1851821"/>
            <a:gd name="connsiteX43" fmla="*/ 2914829 w 4316511"/>
            <a:gd name="connsiteY43" fmla="*/ 1564484 h 1851821"/>
            <a:gd name="connsiteX44" fmla="*/ 2834193 w 4316511"/>
            <a:gd name="connsiteY44" fmla="*/ 1604965 h 1851821"/>
            <a:gd name="connsiteX45" fmla="*/ 2751181 w 4316511"/>
            <a:gd name="connsiteY45" fmla="*/ 1545434 h 1851821"/>
            <a:gd name="connsiteX46" fmla="*/ 2710862 w 4316511"/>
            <a:gd name="connsiteY46" fmla="*/ 1538290 h 1851821"/>
            <a:gd name="connsiteX47" fmla="*/ 2642084 w 4316511"/>
            <a:gd name="connsiteY47" fmla="*/ 1566865 h 1851821"/>
            <a:gd name="connsiteX48" fmla="*/ 2556702 w 4316511"/>
            <a:gd name="connsiteY48" fmla="*/ 1526384 h 1851821"/>
            <a:gd name="connsiteX49" fmla="*/ 2511639 w 4316511"/>
            <a:gd name="connsiteY49" fmla="*/ 1519240 h 1851821"/>
            <a:gd name="connsiteX50" fmla="*/ 2473692 w 4316511"/>
            <a:gd name="connsiteY50" fmla="*/ 1540671 h 1851821"/>
            <a:gd name="connsiteX51" fmla="*/ 2449973 w 4316511"/>
            <a:gd name="connsiteY51" fmla="*/ 1535909 h 1851821"/>
            <a:gd name="connsiteX52" fmla="*/ 2388310 w 4316511"/>
            <a:gd name="connsiteY52" fmla="*/ 1481140 h 1851821"/>
            <a:gd name="connsiteX53" fmla="*/ 2338504 w 4316511"/>
            <a:gd name="connsiteY53" fmla="*/ 1464471 h 1851821"/>
            <a:gd name="connsiteX54" fmla="*/ 2257866 w 4316511"/>
            <a:gd name="connsiteY54" fmla="*/ 1495428 h 1851821"/>
            <a:gd name="connsiteX55" fmla="*/ 2196202 w 4316511"/>
            <a:gd name="connsiteY55" fmla="*/ 1438277 h 1851821"/>
            <a:gd name="connsiteX56" fmla="*/ 2148427 w 4316511"/>
            <a:gd name="connsiteY56" fmla="*/ 1421607 h 1851821"/>
            <a:gd name="connsiteX57" fmla="*/ 2048194 w 4316511"/>
            <a:gd name="connsiteY57" fmla="*/ 1464470 h 1851821"/>
            <a:gd name="connsiteX58" fmla="*/ 1962291 w 4316511"/>
            <a:gd name="connsiteY58" fmla="*/ 1395414 h 1851821"/>
            <a:gd name="connsiteX59" fmla="*/ 1886299 w 4316511"/>
            <a:gd name="connsiteY59" fmla="*/ 1404939 h 1851821"/>
            <a:gd name="connsiteX60" fmla="*/ 1828758 w 4316511"/>
            <a:gd name="connsiteY60" fmla="*/ 1419227 h 1851821"/>
            <a:gd name="connsiteX61" fmla="*/ 1797754 w 4316511"/>
            <a:gd name="connsiteY61" fmla="*/ 1454947 h 1851821"/>
            <a:gd name="connsiteX62" fmla="*/ 1622248 w 4316511"/>
            <a:gd name="connsiteY62" fmla="*/ 1431134 h 1851821"/>
            <a:gd name="connsiteX63" fmla="*/ 1468087 w 4316511"/>
            <a:gd name="connsiteY63" fmla="*/ 1381126 h 1851821"/>
            <a:gd name="connsiteX64" fmla="*/ 1213101 w 4316511"/>
            <a:gd name="connsiteY64" fmla="*/ 1381127 h 1851821"/>
            <a:gd name="connsiteX65" fmla="*/ 763688 w 4316511"/>
            <a:gd name="connsiteY65" fmla="*/ 1285876 h 1851821"/>
            <a:gd name="connsiteX66" fmla="*/ 637859 w 4316511"/>
            <a:gd name="connsiteY66" fmla="*/ 1233489 h 1851821"/>
            <a:gd name="connsiteX67" fmla="*/ 404525 w 4316511"/>
            <a:gd name="connsiteY67" fmla="*/ 1216820 h 1851821"/>
            <a:gd name="connsiteX68" fmla="*/ 227685 w 4316511"/>
            <a:gd name="connsiteY68" fmla="*/ 1162052 h 1851821"/>
            <a:gd name="connsiteX69" fmla="*/ 0 w 4316511"/>
            <a:gd name="connsiteY69" fmla="*/ 1159670 h 1851821"/>
            <a:gd name="connsiteX70" fmla="*/ 15326 w 4316511"/>
            <a:gd name="connsiteY70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462695 w 4316511"/>
            <a:gd name="connsiteY36" fmla="*/ 1647827 h 1851821"/>
            <a:gd name="connsiteX37" fmla="*/ 3365454 w 4316511"/>
            <a:gd name="connsiteY37" fmla="*/ 1631159 h 1851821"/>
            <a:gd name="connsiteX38" fmla="*/ 3318020 w 4316511"/>
            <a:gd name="connsiteY38" fmla="*/ 1624015 h 1851821"/>
            <a:gd name="connsiteX39" fmla="*/ 3239755 w 4316511"/>
            <a:gd name="connsiteY39" fmla="*/ 1657352 h 1851821"/>
            <a:gd name="connsiteX40" fmla="*/ 3154372 w 4316511"/>
            <a:gd name="connsiteY40" fmla="*/ 1602584 h 1851821"/>
            <a:gd name="connsiteX41" fmla="*/ 3121169 w 4316511"/>
            <a:gd name="connsiteY41" fmla="*/ 1597821 h 1851821"/>
            <a:gd name="connsiteX42" fmla="*/ 3031045 w 4316511"/>
            <a:gd name="connsiteY42" fmla="*/ 1616871 h 1851821"/>
            <a:gd name="connsiteX43" fmla="*/ 2964635 w 4316511"/>
            <a:gd name="connsiteY43" fmla="*/ 1566865 h 1851821"/>
            <a:gd name="connsiteX44" fmla="*/ 2914829 w 4316511"/>
            <a:gd name="connsiteY44" fmla="*/ 1564484 h 1851821"/>
            <a:gd name="connsiteX45" fmla="*/ 2834193 w 4316511"/>
            <a:gd name="connsiteY45" fmla="*/ 1604965 h 1851821"/>
            <a:gd name="connsiteX46" fmla="*/ 2751181 w 4316511"/>
            <a:gd name="connsiteY46" fmla="*/ 1545434 h 1851821"/>
            <a:gd name="connsiteX47" fmla="*/ 2710862 w 4316511"/>
            <a:gd name="connsiteY47" fmla="*/ 1538290 h 1851821"/>
            <a:gd name="connsiteX48" fmla="*/ 2642084 w 4316511"/>
            <a:gd name="connsiteY48" fmla="*/ 1566865 h 1851821"/>
            <a:gd name="connsiteX49" fmla="*/ 2556702 w 4316511"/>
            <a:gd name="connsiteY49" fmla="*/ 1526384 h 1851821"/>
            <a:gd name="connsiteX50" fmla="*/ 2511639 w 4316511"/>
            <a:gd name="connsiteY50" fmla="*/ 1519240 h 1851821"/>
            <a:gd name="connsiteX51" fmla="*/ 2473692 w 4316511"/>
            <a:gd name="connsiteY51" fmla="*/ 1540671 h 1851821"/>
            <a:gd name="connsiteX52" fmla="*/ 2449973 w 4316511"/>
            <a:gd name="connsiteY52" fmla="*/ 1535909 h 1851821"/>
            <a:gd name="connsiteX53" fmla="*/ 2388310 w 4316511"/>
            <a:gd name="connsiteY53" fmla="*/ 1481140 h 1851821"/>
            <a:gd name="connsiteX54" fmla="*/ 2338504 w 4316511"/>
            <a:gd name="connsiteY54" fmla="*/ 1464471 h 1851821"/>
            <a:gd name="connsiteX55" fmla="*/ 2257866 w 4316511"/>
            <a:gd name="connsiteY55" fmla="*/ 1495428 h 1851821"/>
            <a:gd name="connsiteX56" fmla="*/ 2196202 w 4316511"/>
            <a:gd name="connsiteY56" fmla="*/ 1438277 h 1851821"/>
            <a:gd name="connsiteX57" fmla="*/ 2148427 w 4316511"/>
            <a:gd name="connsiteY57" fmla="*/ 1421607 h 1851821"/>
            <a:gd name="connsiteX58" fmla="*/ 2048194 w 4316511"/>
            <a:gd name="connsiteY58" fmla="*/ 1464470 h 1851821"/>
            <a:gd name="connsiteX59" fmla="*/ 1962291 w 4316511"/>
            <a:gd name="connsiteY59" fmla="*/ 1395414 h 1851821"/>
            <a:gd name="connsiteX60" fmla="*/ 1886299 w 4316511"/>
            <a:gd name="connsiteY60" fmla="*/ 1404939 h 1851821"/>
            <a:gd name="connsiteX61" fmla="*/ 1828758 w 4316511"/>
            <a:gd name="connsiteY61" fmla="*/ 1419227 h 1851821"/>
            <a:gd name="connsiteX62" fmla="*/ 1797754 w 4316511"/>
            <a:gd name="connsiteY62" fmla="*/ 1454947 h 1851821"/>
            <a:gd name="connsiteX63" fmla="*/ 1622248 w 4316511"/>
            <a:gd name="connsiteY63" fmla="*/ 1431134 h 1851821"/>
            <a:gd name="connsiteX64" fmla="*/ 1468087 w 4316511"/>
            <a:gd name="connsiteY64" fmla="*/ 1381126 h 1851821"/>
            <a:gd name="connsiteX65" fmla="*/ 1213101 w 4316511"/>
            <a:gd name="connsiteY65" fmla="*/ 1381127 h 1851821"/>
            <a:gd name="connsiteX66" fmla="*/ 763688 w 4316511"/>
            <a:gd name="connsiteY66" fmla="*/ 1285876 h 1851821"/>
            <a:gd name="connsiteX67" fmla="*/ 637859 w 4316511"/>
            <a:gd name="connsiteY67" fmla="*/ 1233489 h 1851821"/>
            <a:gd name="connsiteX68" fmla="*/ 404525 w 4316511"/>
            <a:gd name="connsiteY68" fmla="*/ 1216820 h 1851821"/>
            <a:gd name="connsiteX69" fmla="*/ 227685 w 4316511"/>
            <a:gd name="connsiteY69" fmla="*/ 1162052 h 1851821"/>
            <a:gd name="connsiteX70" fmla="*/ 0 w 4316511"/>
            <a:gd name="connsiteY70" fmla="*/ 1159670 h 1851821"/>
            <a:gd name="connsiteX71" fmla="*/ 15326 w 4316511"/>
            <a:gd name="connsiteY71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552819 w 4316511"/>
            <a:gd name="connsiteY34" fmla="*/ 1662115 h 1851821"/>
            <a:gd name="connsiteX35" fmla="*/ 3531474 w 4316511"/>
            <a:gd name="connsiteY35" fmla="*/ 1659733 h 1851821"/>
            <a:gd name="connsiteX36" fmla="*/ 3438978 w 4316511"/>
            <a:gd name="connsiteY36" fmla="*/ 1685927 h 1851821"/>
            <a:gd name="connsiteX37" fmla="*/ 3365454 w 4316511"/>
            <a:gd name="connsiteY37" fmla="*/ 1631159 h 1851821"/>
            <a:gd name="connsiteX38" fmla="*/ 3318020 w 4316511"/>
            <a:gd name="connsiteY38" fmla="*/ 1624015 h 1851821"/>
            <a:gd name="connsiteX39" fmla="*/ 3239755 w 4316511"/>
            <a:gd name="connsiteY39" fmla="*/ 1657352 h 1851821"/>
            <a:gd name="connsiteX40" fmla="*/ 3154372 w 4316511"/>
            <a:gd name="connsiteY40" fmla="*/ 1602584 h 1851821"/>
            <a:gd name="connsiteX41" fmla="*/ 3121169 w 4316511"/>
            <a:gd name="connsiteY41" fmla="*/ 1597821 h 1851821"/>
            <a:gd name="connsiteX42" fmla="*/ 3031045 w 4316511"/>
            <a:gd name="connsiteY42" fmla="*/ 1616871 h 1851821"/>
            <a:gd name="connsiteX43" fmla="*/ 2964635 w 4316511"/>
            <a:gd name="connsiteY43" fmla="*/ 1566865 h 1851821"/>
            <a:gd name="connsiteX44" fmla="*/ 2914829 w 4316511"/>
            <a:gd name="connsiteY44" fmla="*/ 1564484 h 1851821"/>
            <a:gd name="connsiteX45" fmla="*/ 2834193 w 4316511"/>
            <a:gd name="connsiteY45" fmla="*/ 1604965 h 1851821"/>
            <a:gd name="connsiteX46" fmla="*/ 2751181 w 4316511"/>
            <a:gd name="connsiteY46" fmla="*/ 1545434 h 1851821"/>
            <a:gd name="connsiteX47" fmla="*/ 2710862 w 4316511"/>
            <a:gd name="connsiteY47" fmla="*/ 1538290 h 1851821"/>
            <a:gd name="connsiteX48" fmla="*/ 2642084 w 4316511"/>
            <a:gd name="connsiteY48" fmla="*/ 1566865 h 1851821"/>
            <a:gd name="connsiteX49" fmla="*/ 2556702 w 4316511"/>
            <a:gd name="connsiteY49" fmla="*/ 1526384 h 1851821"/>
            <a:gd name="connsiteX50" fmla="*/ 2511639 w 4316511"/>
            <a:gd name="connsiteY50" fmla="*/ 1519240 h 1851821"/>
            <a:gd name="connsiteX51" fmla="*/ 2473692 w 4316511"/>
            <a:gd name="connsiteY51" fmla="*/ 1540671 h 1851821"/>
            <a:gd name="connsiteX52" fmla="*/ 2449973 w 4316511"/>
            <a:gd name="connsiteY52" fmla="*/ 1535909 h 1851821"/>
            <a:gd name="connsiteX53" fmla="*/ 2388310 w 4316511"/>
            <a:gd name="connsiteY53" fmla="*/ 1481140 h 1851821"/>
            <a:gd name="connsiteX54" fmla="*/ 2338504 w 4316511"/>
            <a:gd name="connsiteY54" fmla="*/ 1464471 h 1851821"/>
            <a:gd name="connsiteX55" fmla="*/ 2257866 w 4316511"/>
            <a:gd name="connsiteY55" fmla="*/ 1495428 h 1851821"/>
            <a:gd name="connsiteX56" fmla="*/ 2196202 w 4316511"/>
            <a:gd name="connsiteY56" fmla="*/ 1438277 h 1851821"/>
            <a:gd name="connsiteX57" fmla="*/ 2148427 w 4316511"/>
            <a:gd name="connsiteY57" fmla="*/ 1421607 h 1851821"/>
            <a:gd name="connsiteX58" fmla="*/ 2048194 w 4316511"/>
            <a:gd name="connsiteY58" fmla="*/ 1464470 h 1851821"/>
            <a:gd name="connsiteX59" fmla="*/ 1962291 w 4316511"/>
            <a:gd name="connsiteY59" fmla="*/ 1395414 h 1851821"/>
            <a:gd name="connsiteX60" fmla="*/ 1886299 w 4316511"/>
            <a:gd name="connsiteY60" fmla="*/ 1404939 h 1851821"/>
            <a:gd name="connsiteX61" fmla="*/ 1828758 w 4316511"/>
            <a:gd name="connsiteY61" fmla="*/ 1419227 h 1851821"/>
            <a:gd name="connsiteX62" fmla="*/ 1797754 w 4316511"/>
            <a:gd name="connsiteY62" fmla="*/ 1454947 h 1851821"/>
            <a:gd name="connsiteX63" fmla="*/ 1622248 w 4316511"/>
            <a:gd name="connsiteY63" fmla="*/ 1431134 h 1851821"/>
            <a:gd name="connsiteX64" fmla="*/ 1468087 w 4316511"/>
            <a:gd name="connsiteY64" fmla="*/ 1381126 h 1851821"/>
            <a:gd name="connsiteX65" fmla="*/ 1213101 w 4316511"/>
            <a:gd name="connsiteY65" fmla="*/ 1381127 h 1851821"/>
            <a:gd name="connsiteX66" fmla="*/ 763688 w 4316511"/>
            <a:gd name="connsiteY66" fmla="*/ 1285876 h 1851821"/>
            <a:gd name="connsiteX67" fmla="*/ 637859 w 4316511"/>
            <a:gd name="connsiteY67" fmla="*/ 1233489 h 1851821"/>
            <a:gd name="connsiteX68" fmla="*/ 404525 w 4316511"/>
            <a:gd name="connsiteY68" fmla="*/ 1216820 h 1851821"/>
            <a:gd name="connsiteX69" fmla="*/ 227685 w 4316511"/>
            <a:gd name="connsiteY69" fmla="*/ 1162052 h 1851821"/>
            <a:gd name="connsiteX70" fmla="*/ 0 w 4316511"/>
            <a:gd name="connsiteY70" fmla="*/ 1159670 h 1851821"/>
            <a:gd name="connsiteX71" fmla="*/ 15326 w 4316511"/>
            <a:gd name="connsiteY71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669034 w 4316511"/>
            <a:gd name="connsiteY34" fmla="*/ 1681165 h 1851821"/>
            <a:gd name="connsiteX35" fmla="*/ 3552819 w 4316511"/>
            <a:gd name="connsiteY35" fmla="*/ 1662115 h 1851821"/>
            <a:gd name="connsiteX36" fmla="*/ 3531474 w 4316511"/>
            <a:gd name="connsiteY36" fmla="*/ 1659733 h 1851821"/>
            <a:gd name="connsiteX37" fmla="*/ 3438978 w 4316511"/>
            <a:gd name="connsiteY37" fmla="*/ 1685927 h 1851821"/>
            <a:gd name="connsiteX38" fmla="*/ 3365454 w 4316511"/>
            <a:gd name="connsiteY38" fmla="*/ 1631159 h 1851821"/>
            <a:gd name="connsiteX39" fmla="*/ 3318020 w 4316511"/>
            <a:gd name="connsiteY39" fmla="*/ 1624015 h 1851821"/>
            <a:gd name="connsiteX40" fmla="*/ 3239755 w 4316511"/>
            <a:gd name="connsiteY40" fmla="*/ 1657352 h 1851821"/>
            <a:gd name="connsiteX41" fmla="*/ 3154372 w 4316511"/>
            <a:gd name="connsiteY41" fmla="*/ 1602584 h 1851821"/>
            <a:gd name="connsiteX42" fmla="*/ 3121169 w 4316511"/>
            <a:gd name="connsiteY42" fmla="*/ 1597821 h 1851821"/>
            <a:gd name="connsiteX43" fmla="*/ 3031045 w 4316511"/>
            <a:gd name="connsiteY43" fmla="*/ 1616871 h 1851821"/>
            <a:gd name="connsiteX44" fmla="*/ 2964635 w 4316511"/>
            <a:gd name="connsiteY44" fmla="*/ 1566865 h 1851821"/>
            <a:gd name="connsiteX45" fmla="*/ 2914829 w 4316511"/>
            <a:gd name="connsiteY45" fmla="*/ 1564484 h 1851821"/>
            <a:gd name="connsiteX46" fmla="*/ 2834193 w 4316511"/>
            <a:gd name="connsiteY46" fmla="*/ 1604965 h 1851821"/>
            <a:gd name="connsiteX47" fmla="*/ 2751181 w 4316511"/>
            <a:gd name="connsiteY47" fmla="*/ 1545434 h 1851821"/>
            <a:gd name="connsiteX48" fmla="*/ 2710862 w 4316511"/>
            <a:gd name="connsiteY48" fmla="*/ 1538290 h 1851821"/>
            <a:gd name="connsiteX49" fmla="*/ 2642084 w 4316511"/>
            <a:gd name="connsiteY49" fmla="*/ 1566865 h 1851821"/>
            <a:gd name="connsiteX50" fmla="*/ 2556702 w 4316511"/>
            <a:gd name="connsiteY50" fmla="*/ 1526384 h 1851821"/>
            <a:gd name="connsiteX51" fmla="*/ 2511639 w 4316511"/>
            <a:gd name="connsiteY51" fmla="*/ 1519240 h 1851821"/>
            <a:gd name="connsiteX52" fmla="*/ 2473692 w 4316511"/>
            <a:gd name="connsiteY52" fmla="*/ 1540671 h 1851821"/>
            <a:gd name="connsiteX53" fmla="*/ 2449973 w 4316511"/>
            <a:gd name="connsiteY53" fmla="*/ 1535909 h 1851821"/>
            <a:gd name="connsiteX54" fmla="*/ 2388310 w 4316511"/>
            <a:gd name="connsiteY54" fmla="*/ 1481140 h 1851821"/>
            <a:gd name="connsiteX55" fmla="*/ 2338504 w 4316511"/>
            <a:gd name="connsiteY55" fmla="*/ 1464471 h 1851821"/>
            <a:gd name="connsiteX56" fmla="*/ 2257866 w 4316511"/>
            <a:gd name="connsiteY56" fmla="*/ 1495428 h 1851821"/>
            <a:gd name="connsiteX57" fmla="*/ 2196202 w 4316511"/>
            <a:gd name="connsiteY57" fmla="*/ 1438277 h 1851821"/>
            <a:gd name="connsiteX58" fmla="*/ 2148427 w 4316511"/>
            <a:gd name="connsiteY58" fmla="*/ 1421607 h 1851821"/>
            <a:gd name="connsiteX59" fmla="*/ 2048194 w 4316511"/>
            <a:gd name="connsiteY59" fmla="*/ 1464470 h 1851821"/>
            <a:gd name="connsiteX60" fmla="*/ 1962291 w 4316511"/>
            <a:gd name="connsiteY60" fmla="*/ 1395414 h 1851821"/>
            <a:gd name="connsiteX61" fmla="*/ 1886299 w 4316511"/>
            <a:gd name="connsiteY61" fmla="*/ 1404939 h 1851821"/>
            <a:gd name="connsiteX62" fmla="*/ 1828758 w 4316511"/>
            <a:gd name="connsiteY62" fmla="*/ 1419227 h 1851821"/>
            <a:gd name="connsiteX63" fmla="*/ 1797754 w 4316511"/>
            <a:gd name="connsiteY63" fmla="*/ 1454947 h 1851821"/>
            <a:gd name="connsiteX64" fmla="*/ 1622248 w 4316511"/>
            <a:gd name="connsiteY64" fmla="*/ 1431134 h 1851821"/>
            <a:gd name="connsiteX65" fmla="*/ 1468087 w 4316511"/>
            <a:gd name="connsiteY65" fmla="*/ 1381126 h 1851821"/>
            <a:gd name="connsiteX66" fmla="*/ 1213101 w 4316511"/>
            <a:gd name="connsiteY66" fmla="*/ 1381127 h 1851821"/>
            <a:gd name="connsiteX67" fmla="*/ 763688 w 4316511"/>
            <a:gd name="connsiteY67" fmla="*/ 1285876 h 1851821"/>
            <a:gd name="connsiteX68" fmla="*/ 637859 w 4316511"/>
            <a:gd name="connsiteY68" fmla="*/ 1233489 h 1851821"/>
            <a:gd name="connsiteX69" fmla="*/ 404525 w 4316511"/>
            <a:gd name="connsiteY69" fmla="*/ 1216820 h 1851821"/>
            <a:gd name="connsiteX70" fmla="*/ 227685 w 4316511"/>
            <a:gd name="connsiteY70" fmla="*/ 1162052 h 1851821"/>
            <a:gd name="connsiteX71" fmla="*/ 0 w 4316511"/>
            <a:gd name="connsiteY71" fmla="*/ 1159670 h 1851821"/>
            <a:gd name="connsiteX72" fmla="*/ 15326 w 4316511"/>
            <a:gd name="connsiteY72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763901 w 4316511"/>
            <a:gd name="connsiteY32" fmla="*/ 1695452 h 1851821"/>
            <a:gd name="connsiteX33" fmla="*/ 3725953 w 4316511"/>
            <a:gd name="connsiteY33" fmla="*/ 1693071 h 1851821"/>
            <a:gd name="connsiteX34" fmla="*/ 3647689 w 4316511"/>
            <a:gd name="connsiteY34" fmla="*/ 1716883 h 1851821"/>
            <a:gd name="connsiteX35" fmla="*/ 3552819 w 4316511"/>
            <a:gd name="connsiteY35" fmla="*/ 1662115 h 1851821"/>
            <a:gd name="connsiteX36" fmla="*/ 3531474 w 4316511"/>
            <a:gd name="connsiteY36" fmla="*/ 1659733 h 1851821"/>
            <a:gd name="connsiteX37" fmla="*/ 3438978 w 4316511"/>
            <a:gd name="connsiteY37" fmla="*/ 1685927 h 1851821"/>
            <a:gd name="connsiteX38" fmla="*/ 3365454 w 4316511"/>
            <a:gd name="connsiteY38" fmla="*/ 1631159 h 1851821"/>
            <a:gd name="connsiteX39" fmla="*/ 3318020 w 4316511"/>
            <a:gd name="connsiteY39" fmla="*/ 1624015 h 1851821"/>
            <a:gd name="connsiteX40" fmla="*/ 3239755 w 4316511"/>
            <a:gd name="connsiteY40" fmla="*/ 1657352 h 1851821"/>
            <a:gd name="connsiteX41" fmla="*/ 3154372 w 4316511"/>
            <a:gd name="connsiteY41" fmla="*/ 1602584 h 1851821"/>
            <a:gd name="connsiteX42" fmla="*/ 3121169 w 4316511"/>
            <a:gd name="connsiteY42" fmla="*/ 1597821 h 1851821"/>
            <a:gd name="connsiteX43" fmla="*/ 3031045 w 4316511"/>
            <a:gd name="connsiteY43" fmla="*/ 1616871 h 1851821"/>
            <a:gd name="connsiteX44" fmla="*/ 2964635 w 4316511"/>
            <a:gd name="connsiteY44" fmla="*/ 1566865 h 1851821"/>
            <a:gd name="connsiteX45" fmla="*/ 2914829 w 4316511"/>
            <a:gd name="connsiteY45" fmla="*/ 1564484 h 1851821"/>
            <a:gd name="connsiteX46" fmla="*/ 2834193 w 4316511"/>
            <a:gd name="connsiteY46" fmla="*/ 1604965 h 1851821"/>
            <a:gd name="connsiteX47" fmla="*/ 2751181 w 4316511"/>
            <a:gd name="connsiteY47" fmla="*/ 1545434 h 1851821"/>
            <a:gd name="connsiteX48" fmla="*/ 2710862 w 4316511"/>
            <a:gd name="connsiteY48" fmla="*/ 1538290 h 1851821"/>
            <a:gd name="connsiteX49" fmla="*/ 2642084 w 4316511"/>
            <a:gd name="connsiteY49" fmla="*/ 1566865 h 1851821"/>
            <a:gd name="connsiteX50" fmla="*/ 2556702 w 4316511"/>
            <a:gd name="connsiteY50" fmla="*/ 1526384 h 1851821"/>
            <a:gd name="connsiteX51" fmla="*/ 2511639 w 4316511"/>
            <a:gd name="connsiteY51" fmla="*/ 1519240 h 1851821"/>
            <a:gd name="connsiteX52" fmla="*/ 2473692 w 4316511"/>
            <a:gd name="connsiteY52" fmla="*/ 1540671 h 1851821"/>
            <a:gd name="connsiteX53" fmla="*/ 2449973 w 4316511"/>
            <a:gd name="connsiteY53" fmla="*/ 1535909 h 1851821"/>
            <a:gd name="connsiteX54" fmla="*/ 2388310 w 4316511"/>
            <a:gd name="connsiteY54" fmla="*/ 1481140 h 1851821"/>
            <a:gd name="connsiteX55" fmla="*/ 2338504 w 4316511"/>
            <a:gd name="connsiteY55" fmla="*/ 1464471 h 1851821"/>
            <a:gd name="connsiteX56" fmla="*/ 2257866 w 4316511"/>
            <a:gd name="connsiteY56" fmla="*/ 1495428 h 1851821"/>
            <a:gd name="connsiteX57" fmla="*/ 2196202 w 4316511"/>
            <a:gd name="connsiteY57" fmla="*/ 1438277 h 1851821"/>
            <a:gd name="connsiteX58" fmla="*/ 2148427 w 4316511"/>
            <a:gd name="connsiteY58" fmla="*/ 1421607 h 1851821"/>
            <a:gd name="connsiteX59" fmla="*/ 2048194 w 4316511"/>
            <a:gd name="connsiteY59" fmla="*/ 1464470 h 1851821"/>
            <a:gd name="connsiteX60" fmla="*/ 1962291 w 4316511"/>
            <a:gd name="connsiteY60" fmla="*/ 1395414 h 1851821"/>
            <a:gd name="connsiteX61" fmla="*/ 1886299 w 4316511"/>
            <a:gd name="connsiteY61" fmla="*/ 1404939 h 1851821"/>
            <a:gd name="connsiteX62" fmla="*/ 1828758 w 4316511"/>
            <a:gd name="connsiteY62" fmla="*/ 1419227 h 1851821"/>
            <a:gd name="connsiteX63" fmla="*/ 1797754 w 4316511"/>
            <a:gd name="connsiteY63" fmla="*/ 1454947 h 1851821"/>
            <a:gd name="connsiteX64" fmla="*/ 1622248 w 4316511"/>
            <a:gd name="connsiteY64" fmla="*/ 1431134 h 1851821"/>
            <a:gd name="connsiteX65" fmla="*/ 1468087 w 4316511"/>
            <a:gd name="connsiteY65" fmla="*/ 1381126 h 1851821"/>
            <a:gd name="connsiteX66" fmla="*/ 1213101 w 4316511"/>
            <a:gd name="connsiteY66" fmla="*/ 1381127 h 1851821"/>
            <a:gd name="connsiteX67" fmla="*/ 763688 w 4316511"/>
            <a:gd name="connsiteY67" fmla="*/ 1285876 h 1851821"/>
            <a:gd name="connsiteX68" fmla="*/ 637859 w 4316511"/>
            <a:gd name="connsiteY68" fmla="*/ 1233489 h 1851821"/>
            <a:gd name="connsiteX69" fmla="*/ 404525 w 4316511"/>
            <a:gd name="connsiteY69" fmla="*/ 1216820 h 1851821"/>
            <a:gd name="connsiteX70" fmla="*/ 227685 w 4316511"/>
            <a:gd name="connsiteY70" fmla="*/ 1162052 h 1851821"/>
            <a:gd name="connsiteX71" fmla="*/ 0 w 4316511"/>
            <a:gd name="connsiteY71" fmla="*/ 1159670 h 1851821"/>
            <a:gd name="connsiteX72" fmla="*/ 15326 w 4316511"/>
            <a:gd name="connsiteY72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856399 w 4316511"/>
            <a:gd name="connsiteY32" fmla="*/ 1714502 h 1851821"/>
            <a:gd name="connsiteX33" fmla="*/ 3763901 w 4316511"/>
            <a:gd name="connsiteY33" fmla="*/ 1695452 h 1851821"/>
            <a:gd name="connsiteX34" fmla="*/ 3725953 w 4316511"/>
            <a:gd name="connsiteY34" fmla="*/ 1693071 h 1851821"/>
            <a:gd name="connsiteX35" fmla="*/ 3647689 w 4316511"/>
            <a:gd name="connsiteY35" fmla="*/ 1716883 h 1851821"/>
            <a:gd name="connsiteX36" fmla="*/ 3552819 w 4316511"/>
            <a:gd name="connsiteY36" fmla="*/ 1662115 h 1851821"/>
            <a:gd name="connsiteX37" fmla="*/ 3531474 w 4316511"/>
            <a:gd name="connsiteY37" fmla="*/ 1659733 h 1851821"/>
            <a:gd name="connsiteX38" fmla="*/ 3438978 w 4316511"/>
            <a:gd name="connsiteY38" fmla="*/ 1685927 h 1851821"/>
            <a:gd name="connsiteX39" fmla="*/ 3365454 w 4316511"/>
            <a:gd name="connsiteY39" fmla="*/ 1631159 h 1851821"/>
            <a:gd name="connsiteX40" fmla="*/ 3318020 w 4316511"/>
            <a:gd name="connsiteY40" fmla="*/ 1624015 h 1851821"/>
            <a:gd name="connsiteX41" fmla="*/ 3239755 w 4316511"/>
            <a:gd name="connsiteY41" fmla="*/ 1657352 h 1851821"/>
            <a:gd name="connsiteX42" fmla="*/ 3154372 w 4316511"/>
            <a:gd name="connsiteY42" fmla="*/ 1602584 h 1851821"/>
            <a:gd name="connsiteX43" fmla="*/ 3121169 w 4316511"/>
            <a:gd name="connsiteY43" fmla="*/ 1597821 h 1851821"/>
            <a:gd name="connsiteX44" fmla="*/ 3031045 w 4316511"/>
            <a:gd name="connsiteY44" fmla="*/ 1616871 h 1851821"/>
            <a:gd name="connsiteX45" fmla="*/ 2964635 w 4316511"/>
            <a:gd name="connsiteY45" fmla="*/ 1566865 h 1851821"/>
            <a:gd name="connsiteX46" fmla="*/ 2914829 w 4316511"/>
            <a:gd name="connsiteY46" fmla="*/ 1564484 h 1851821"/>
            <a:gd name="connsiteX47" fmla="*/ 2834193 w 4316511"/>
            <a:gd name="connsiteY47" fmla="*/ 1604965 h 1851821"/>
            <a:gd name="connsiteX48" fmla="*/ 2751181 w 4316511"/>
            <a:gd name="connsiteY48" fmla="*/ 1545434 h 1851821"/>
            <a:gd name="connsiteX49" fmla="*/ 2710862 w 4316511"/>
            <a:gd name="connsiteY49" fmla="*/ 1538290 h 1851821"/>
            <a:gd name="connsiteX50" fmla="*/ 2642084 w 4316511"/>
            <a:gd name="connsiteY50" fmla="*/ 1566865 h 1851821"/>
            <a:gd name="connsiteX51" fmla="*/ 2556702 w 4316511"/>
            <a:gd name="connsiteY51" fmla="*/ 1526384 h 1851821"/>
            <a:gd name="connsiteX52" fmla="*/ 2511639 w 4316511"/>
            <a:gd name="connsiteY52" fmla="*/ 1519240 h 1851821"/>
            <a:gd name="connsiteX53" fmla="*/ 2473692 w 4316511"/>
            <a:gd name="connsiteY53" fmla="*/ 1540671 h 1851821"/>
            <a:gd name="connsiteX54" fmla="*/ 2449973 w 4316511"/>
            <a:gd name="connsiteY54" fmla="*/ 1535909 h 1851821"/>
            <a:gd name="connsiteX55" fmla="*/ 2388310 w 4316511"/>
            <a:gd name="connsiteY55" fmla="*/ 1481140 h 1851821"/>
            <a:gd name="connsiteX56" fmla="*/ 2338504 w 4316511"/>
            <a:gd name="connsiteY56" fmla="*/ 1464471 h 1851821"/>
            <a:gd name="connsiteX57" fmla="*/ 2257866 w 4316511"/>
            <a:gd name="connsiteY57" fmla="*/ 1495428 h 1851821"/>
            <a:gd name="connsiteX58" fmla="*/ 2196202 w 4316511"/>
            <a:gd name="connsiteY58" fmla="*/ 1438277 h 1851821"/>
            <a:gd name="connsiteX59" fmla="*/ 2148427 w 4316511"/>
            <a:gd name="connsiteY59" fmla="*/ 1421607 h 1851821"/>
            <a:gd name="connsiteX60" fmla="*/ 2048194 w 4316511"/>
            <a:gd name="connsiteY60" fmla="*/ 1464470 h 1851821"/>
            <a:gd name="connsiteX61" fmla="*/ 1962291 w 4316511"/>
            <a:gd name="connsiteY61" fmla="*/ 1395414 h 1851821"/>
            <a:gd name="connsiteX62" fmla="*/ 1886299 w 4316511"/>
            <a:gd name="connsiteY62" fmla="*/ 1404939 h 1851821"/>
            <a:gd name="connsiteX63" fmla="*/ 1828758 w 4316511"/>
            <a:gd name="connsiteY63" fmla="*/ 1419227 h 1851821"/>
            <a:gd name="connsiteX64" fmla="*/ 1797754 w 4316511"/>
            <a:gd name="connsiteY64" fmla="*/ 1454947 h 1851821"/>
            <a:gd name="connsiteX65" fmla="*/ 1622248 w 4316511"/>
            <a:gd name="connsiteY65" fmla="*/ 1431134 h 1851821"/>
            <a:gd name="connsiteX66" fmla="*/ 1468087 w 4316511"/>
            <a:gd name="connsiteY66" fmla="*/ 1381126 h 1851821"/>
            <a:gd name="connsiteX67" fmla="*/ 1213101 w 4316511"/>
            <a:gd name="connsiteY67" fmla="*/ 1381127 h 1851821"/>
            <a:gd name="connsiteX68" fmla="*/ 763688 w 4316511"/>
            <a:gd name="connsiteY68" fmla="*/ 1285876 h 1851821"/>
            <a:gd name="connsiteX69" fmla="*/ 637859 w 4316511"/>
            <a:gd name="connsiteY69" fmla="*/ 1233489 h 1851821"/>
            <a:gd name="connsiteX70" fmla="*/ 404525 w 4316511"/>
            <a:gd name="connsiteY70" fmla="*/ 1216820 h 1851821"/>
            <a:gd name="connsiteX71" fmla="*/ 227685 w 4316511"/>
            <a:gd name="connsiteY71" fmla="*/ 1162052 h 1851821"/>
            <a:gd name="connsiteX72" fmla="*/ 0 w 4316511"/>
            <a:gd name="connsiteY72" fmla="*/ 1159670 h 1851821"/>
            <a:gd name="connsiteX73" fmla="*/ 15326 w 4316511"/>
            <a:gd name="connsiteY73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3965496 w 4316511"/>
            <a:gd name="connsiteY30" fmla="*/ 1728790 h 1851821"/>
            <a:gd name="connsiteX31" fmla="*/ 3929919 w 4316511"/>
            <a:gd name="connsiteY31" fmla="*/ 1724027 h 1851821"/>
            <a:gd name="connsiteX32" fmla="*/ 3837426 w 4316511"/>
            <a:gd name="connsiteY32" fmla="*/ 1762127 h 1851821"/>
            <a:gd name="connsiteX33" fmla="*/ 3763901 w 4316511"/>
            <a:gd name="connsiteY33" fmla="*/ 1695452 h 1851821"/>
            <a:gd name="connsiteX34" fmla="*/ 3725953 w 4316511"/>
            <a:gd name="connsiteY34" fmla="*/ 1693071 h 1851821"/>
            <a:gd name="connsiteX35" fmla="*/ 3647689 w 4316511"/>
            <a:gd name="connsiteY35" fmla="*/ 1716883 h 1851821"/>
            <a:gd name="connsiteX36" fmla="*/ 3552819 w 4316511"/>
            <a:gd name="connsiteY36" fmla="*/ 1662115 h 1851821"/>
            <a:gd name="connsiteX37" fmla="*/ 3531474 w 4316511"/>
            <a:gd name="connsiteY37" fmla="*/ 1659733 h 1851821"/>
            <a:gd name="connsiteX38" fmla="*/ 3438978 w 4316511"/>
            <a:gd name="connsiteY38" fmla="*/ 1685927 h 1851821"/>
            <a:gd name="connsiteX39" fmla="*/ 3365454 w 4316511"/>
            <a:gd name="connsiteY39" fmla="*/ 1631159 h 1851821"/>
            <a:gd name="connsiteX40" fmla="*/ 3318020 w 4316511"/>
            <a:gd name="connsiteY40" fmla="*/ 1624015 h 1851821"/>
            <a:gd name="connsiteX41" fmla="*/ 3239755 w 4316511"/>
            <a:gd name="connsiteY41" fmla="*/ 1657352 h 1851821"/>
            <a:gd name="connsiteX42" fmla="*/ 3154372 w 4316511"/>
            <a:gd name="connsiteY42" fmla="*/ 1602584 h 1851821"/>
            <a:gd name="connsiteX43" fmla="*/ 3121169 w 4316511"/>
            <a:gd name="connsiteY43" fmla="*/ 1597821 h 1851821"/>
            <a:gd name="connsiteX44" fmla="*/ 3031045 w 4316511"/>
            <a:gd name="connsiteY44" fmla="*/ 1616871 h 1851821"/>
            <a:gd name="connsiteX45" fmla="*/ 2964635 w 4316511"/>
            <a:gd name="connsiteY45" fmla="*/ 1566865 h 1851821"/>
            <a:gd name="connsiteX46" fmla="*/ 2914829 w 4316511"/>
            <a:gd name="connsiteY46" fmla="*/ 1564484 h 1851821"/>
            <a:gd name="connsiteX47" fmla="*/ 2834193 w 4316511"/>
            <a:gd name="connsiteY47" fmla="*/ 1604965 h 1851821"/>
            <a:gd name="connsiteX48" fmla="*/ 2751181 w 4316511"/>
            <a:gd name="connsiteY48" fmla="*/ 1545434 h 1851821"/>
            <a:gd name="connsiteX49" fmla="*/ 2710862 w 4316511"/>
            <a:gd name="connsiteY49" fmla="*/ 1538290 h 1851821"/>
            <a:gd name="connsiteX50" fmla="*/ 2642084 w 4316511"/>
            <a:gd name="connsiteY50" fmla="*/ 1566865 h 1851821"/>
            <a:gd name="connsiteX51" fmla="*/ 2556702 w 4316511"/>
            <a:gd name="connsiteY51" fmla="*/ 1526384 h 1851821"/>
            <a:gd name="connsiteX52" fmla="*/ 2511639 w 4316511"/>
            <a:gd name="connsiteY52" fmla="*/ 1519240 h 1851821"/>
            <a:gd name="connsiteX53" fmla="*/ 2473692 w 4316511"/>
            <a:gd name="connsiteY53" fmla="*/ 1540671 h 1851821"/>
            <a:gd name="connsiteX54" fmla="*/ 2449973 w 4316511"/>
            <a:gd name="connsiteY54" fmla="*/ 1535909 h 1851821"/>
            <a:gd name="connsiteX55" fmla="*/ 2388310 w 4316511"/>
            <a:gd name="connsiteY55" fmla="*/ 1481140 h 1851821"/>
            <a:gd name="connsiteX56" fmla="*/ 2338504 w 4316511"/>
            <a:gd name="connsiteY56" fmla="*/ 1464471 h 1851821"/>
            <a:gd name="connsiteX57" fmla="*/ 2257866 w 4316511"/>
            <a:gd name="connsiteY57" fmla="*/ 1495428 h 1851821"/>
            <a:gd name="connsiteX58" fmla="*/ 2196202 w 4316511"/>
            <a:gd name="connsiteY58" fmla="*/ 1438277 h 1851821"/>
            <a:gd name="connsiteX59" fmla="*/ 2148427 w 4316511"/>
            <a:gd name="connsiteY59" fmla="*/ 1421607 h 1851821"/>
            <a:gd name="connsiteX60" fmla="*/ 2048194 w 4316511"/>
            <a:gd name="connsiteY60" fmla="*/ 1464470 h 1851821"/>
            <a:gd name="connsiteX61" fmla="*/ 1962291 w 4316511"/>
            <a:gd name="connsiteY61" fmla="*/ 1395414 h 1851821"/>
            <a:gd name="connsiteX62" fmla="*/ 1886299 w 4316511"/>
            <a:gd name="connsiteY62" fmla="*/ 1404939 h 1851821"/>
            <a:gd name="connsiteX63" fmla="*/ 1828758 w 4316511"/>
            <a:gd name="connsiteY63" fmla="*/ 1419227 h 1851821"/>
            <a:gd name="connsiteX64" fmla="*/ 1797754 w 4316511"/>
            <a:gd name="connsiteY64" fmla="*/ 1454947 h 1851821"/>
            <a:gd name="connsiteX65" fmla="*/ 1622248 w 4316511"/>
            <a:gd name="connsiteY65" fmla="*/ 1431134 h 1851821"/>
            <a:gd name="connsiteX66" fmla="*/ 1468087 w 4316511"/>
            <a:gd name="connsiteY66" fmla="*/ 1381126 h 1851821"/>
            <a:gd name="connsiteX67" fmla="*/ 1213101 w 4316511"/>
            <a:gd name="connsiteY67" fmla="*/ 1381127 h 1851821"/>
            <a:gd name="connsiteX68" fmla="*/ 763688 w 4316511"/>
            <a:gd name="connsiteY68" fmla="*/ 1285876 h 1851821"/>
            <a:gd name="connsiteX69" fmla="*/ 637859 w 4316511"/>
            <a:gd name="connsiteY69" fmla="*/ 1233489 h 1851821"/>
            <a:gd name="connsiteX70" fmla="*/ 404525 w 4316511"/>
            <a:gd name="connsiteY70" fmla="*/ 1216820 h 1851821"/>
            <a:gd name="connsiteX71" fmla="*/ 227685 w 4316511"/>
            <a:gd name="connsiteY71" fmla="*/ 1162052 h 1851821"/>
            <a:gd name="connsiteX72" fmla="*/ 0 w 4316511"/>
            <a:gd name="connsiteY72" fmla="*/ 1159670 h 1851821"/>
            <a:gd name="connsiteX73" fmla="*/ 15326 w 4316511"/>
            <a:gd name="connsiteY73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4043763 w 4316511"/>
            <a:gd name="connsiteY30" fmla="*/ 1743077 h 1851821"/>
            <a:gd name="connsiteX31" fmla="*/ 3965496 w 4316511"/>
            <a:gd name="connsiteY31" fmla="*/ 1728790 h 1851821"/>
            <a:gd name="connsiteX32" fmla="*/ 3929919 w 4316511"/>
            <a:gd name="connsiteY32" fmla="*/ 1724027 h 1851821"/>
            <a:gd name="connsiteX33" fmla="*/ 3837426 w 4316511"/>
            <a:gd name="connsiteY33" fmla="*/ 1762127 h 1851821"/>
            <a:gd name="connsiteX34" fmla="*/ 3763901 w 4316511"/>
            <a:gd name="connsiteY34" fmla="*/ 1695452 h 1851821"/>
            <a:gd name="connsiteX35" fmla="*/ 3725953 w 4316511"/>
            <a:gd name="connsiteY35" fmla="*/ 1693071 h 1851821"/>
            <a:gd name="connsiteX36" fmla="*/ 3647689 w 4316511"/>
            <a:gd name="connsiteY36" fmla="*/ 1716883 h 1851821"/>
            <a:gd name="connsiteX37" fmla="*/ 3552819 w 4316511"/>
            <a:gd name="connsiteY37" fmla="*/ 1662115 h 1851821"/>
            <a:gd name="connsiteX38" fmla="*/ 3531474 w 4316511"/>
            <a:gd name="connsiteY38" fmla="*/ 1659733 h 1851821"/>
            <a:gd name="connsiteX39" fmla="*/ 3438978 w 4316511"/>
            <a:gd name="connsiteY39" fmla="*/ 1685927 h 1851821"/>
            <a:gd name="connsiteX40" fmla="*/ 3365454 w 4316511"/>
            <a:gd name="connsiteY40" fmla="*/ 1631159 h 1851821"/>
            <a:gd name="connsiteX41" fmla="*/ 3318020 w 4316511"/>
            <a:gd name="connsiteY41" fmla="*/ 1624015 h 1851821"/>
            <a:gd name="connsiteX42" fmla="*/ 3239755 w 4316511"/>
            <a:gd name="connsiteY42" fmla="*/ 1657352 h 1851821"/>
            <a:gd name="connsiteX43" fmla="*/ 3154372 w 4316511"/>
            <a:gd name="connsiteY43" fmla="*/ 1602584 h 1851821"/>
            <a:gd name="connsiteX44" fmla="*/ 3121169 w 4316511"/>
            <a:gd name="connsiteY44" fmla="*/ 1597821 h 1851821"/>
            <a:gd name="connsiteX45" fmla="*/ 3031045 w 4316511"/>
            <a:gd name="connsiteY45" fmla="*/ 1616871 h 1851821"/>
            <a:gd name="connsiteX46" fmla="*/ 2964635 w 4316511"/>
            <a:gd name="connsiteY46" fmla="*/ 1566865 h 1851821"/>
            <a:gd name="connsiteX47" fmla="*/ 2914829 w 4316511"/>
            <a:gd name="connsiteY47" fmla="*/ 1564484 h 1851821"/>
            <a:gd name="connsiteX48" fmla="*/ 2834193 w 4316511"/>
            <a:gd name="connsiteY48" fmla="*/ 1604965 h 1851821"/>
            <a:gd name="connsiteX49" fmla="*/ 2751181 w 4316511"/>
            <a:gd name="connsiteY49" fmla="*/ 1545434 h 1851821"/>
            <a:gd name="connsiteX50" fmla="*/ 2710862 w 4316511"/>
            <a:gd name="connsiteY50" fmla="*/ 1538290 h 1851821"/>
            <a:gd name="connsiteX51" fmla="*/ 2642084 w 4316511"/>
            <a:gd name="connsiteY51" fmla="*/ 1566865 h 1851821"/>
            <a:gd name="connsiteX52" fmla="*/ 2556702 w 4316511"/>
            <a:gd name="connsiteY52" fmla="*/ 1526384 h 1851821"/>
            <a:gd name="connsiteX53" fmla="*/ 2511639 w 4316511"/>
            <a:gd name="connsiteY53" fmla="*/ 1519240 h 1851821"/>
            <a:gd name="connsiteX54" fmla="*/ 2473692 w 4316511"/>
            <a:gd name="connsiteY54" fmla="*/ 1540671 h 1851821"/>
            <a:gd name="connsiteX55" fmla="*/ 2449973 w 4316511"/>
            <a:gd name="connsiteY55" fmla="*/ 1535909 h 1851821"/>
            <a:gd name="connsiteX56" fmla="*/ 2388310 w 4316511"/>
            <a:gd name="connsiteY56" fmla="*/ 1481140 h 1851821"/>
            <a:gd name="connsiteX57" fmla="*/ 2338504 w 4316511"/>
            <a:gd name="connsiteY57" fmla="*/ 1464471 h 1851821"/>
            <a:gd name="connsiteX58" fmla="*/ 2257866 w 4316511"/>
            <a:gd name="connsiteY58" fmla="*/ 1495428 h 1851821"/>
            <a:gd name="connsiteX59" fmla="*/ 2196202 w 4316511"/>
            <a:gd name="connsiteY59" fmla="*/ 1438277 h 1851821"/>
            <a:gd name="connsiteX60" fmla="*/ 2148427 w 4316511"/>
            <a:gd name="connsiteY60" fmla="*/ 1421607 h 1851821"/>
            <a:gd name="connsiteX61" fmla="*/ 2048194 w 4316511"/>
            <a:gd name="connsiteY61" fmla="*/ 1464470 h 1851821"/>
            <a:gd name="connsiteX62" fmla="*/ 1962291 w 4316511"/>
            <a:gd name="connsiteY62" fmla="*/ 1395414 h 1851821"/>
            <a:gd name="connsiteX63" fmla="*/ 1886299 w 4316511"/>
            <a:gd name="connsiteY63" fmla="*/ 1404939 h 1851821"/>
            <a:gd name="connsiteX64" fmla="*/ 1828758 w 4316511"/>
            <a:gd name="connsiteY64" fmla="*/ 1419227 h 1851821"/>
            <a:gd name="connsiteX65" fmla="*/ 1797754 w 4316511"/>
            <a:gd name="connsiteY65" fmla="*/ 1454947 h 1851821"/>
            <a:gd name="connsiteX66" fmla="*/ 1622248 w 4316511"/>
            <a:gd name="connsiteY66" fmla="*/ 1431134 h 1851821"/>
            <a:gd name="connsiteX67" fmla="*/ 1468087 w 4316511"/>
            <a:gd name="connsiteY67" fmla="*/ 1381126 h 1851821"/>
            <a:gd name="connsiteX68" fmla="*/ 1213101 w 4316511"/>
            <a:gd name="connsiteY68" fmla="*/ 1381127 h 1851821"/>
            <a:gd name="connsiteX69" fmla="*/ 763688 w 4316511"/>
            <a:gd name="connsiteY69" fmla="*/ 1285876 h 1851821"/>
            <a:gd name="connsiteX70" fmla="*/ 637859 w 4316511"/>
            <a:gd name="connsiteY70" fmla="*/ 1233489 h 1851821"/>
            <a:gd name="connsiteX71" fmla="*/ 404525 w 4316511"/>
            <a:gd name="connsiteY71" fmla="*/ 1216820 h 1851821"/>
            <a:gd name="connsiteX72" fmla="*/ 227685 w 4316511"/>
            <a:gd name="connsiteY72" fmla="*/ 1162052 h 1851821"/>
            <a:gd name="connsiteX73" fmla="*/ 0 w 4316511"/>
            <a:gd name="connsiteY73" fmla="*/ 1159670 h 1851821"/>
            <a:gd name="connsiteX74" fmla="*/ 15326 w 4316511"/>
            <a:gd name="connsiteY74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162348 w 4316511"/>
            <a:gd name="connsiteY28" fmla="*/ 1759746 h 1851821"/>
            <a:gd name="connsiteX29" fmla="*/ 4122030 w 4316511"/>
            <a:gd name="connsiteY29" fmla="*/ 1764509 h 1851821"/>
            <a:gd name="connsiteX30" fmla="*/ 4048506 w 4316511"/>
            <a:gd name="connsiteY30" fmla="*/ 1788321 h 1851821"/>
            <a:gd name="connsiteX31" fmla="*/ 3965496 w 4316511"/>
            <a:gd name="connsiteY31" fmla="*/ 1728790 h 1851821"/>
            <a:gd name="connsiteX32" fmla="*/ 3929919 w 4316511"/>
            <a:gd name="connsiteY32" fmla="*/ 1724027 h 1851821"/>
            <a:gd name="connsiteX33" fmla="*/ 3837426 w 4316511"/>
            <a:gd name="connsiteY33" fmla="*/ 1762127 h 1851821"/>
            <a:gd name="connsiteX34" fmla="*/ 3763901 w 4316511"/>
            <a:gd name="connsiteY34" fmla="*/ 1695452 h 1851821"/>
            <a:gd name="connsiteX35" fmla="*/ 3725953 w 4316511"/>
            <a:gd name="connsiteY35" fmla="*/ 1693071 h 1851821"/>
            <a:gd name="connsiteX36" fmla="*/ 3647689 w 4316511"/>
            <a:gd name="connsiteY36" fmla="*/ 1716883 h 1851821"/>
            <a:gd name="connsiteX37" fmla="*/ 3552819 w 4316511"/>
            <a:gd name="connsiteY37" fmla="*/ 1662115 h 1851821"/>
            <a:gd name="connsiteX38" fmla="*/ 3531474 w 4316511"/>
            <a:gd name="connsiteY38" fmla="*/ 1659733 h 1851821"/>
            <a:gd name="connsiteX39" fmla="*/ 3438978 w 4316511"/>
            <a:gd name="connsiteY39" fmla="*/ 1685927 h 1851821"/>
            <a:gd name="connsiteX40" fmla="*/ 3365454 w 4316511"/>
            <a:gd name="connsiteY40" fmla="*/ 1631159 h 1851821"/>
            <a:gd name="connsiteX41" fmla="*/ 3318020 w 4316511"/>
            <a:gd name="connsiteY41" fmla="*/ 1624015 h 1851821"/>
            <a:gd name="connsiteX42" fmla="*/ 3239755 w 4316511"/>
            <a:gd name="connsiteY42" fmla="*/ 1657352 h 1851821"/>
            <a:gd name="connsiteX43" fmla="*/ 3154372 w 4316511"/>
            <a:gd name="connsiteY43" fmla="*/ 1602584 h 1851821"/>
            <a:gd name="connsiteX44" fmla="*/ 3121169 w 4316511"/>
            <a:gd name="connsiteY44" fmla="*/ 1597821 h 1851821"/>
            <a:gd name="connsiteX45" fmla="*/ 3031045 w 4316511"/>
            <a:gd name="connsiteY45" fmla="*/ 1616871 h 1851821"/>
            <a:gd name="connsiteX46" fmla="*/ 2964635 w 4316511"/>
            <a:gd name="connsiteY46" fmla="*/ 1566865 h 1851821"/>
            <a:gd name="connsiteX47" fmla="*/ 2914829 w 4316511"/>
            <a:gd name="connsiteY47" fmla="*/ 1564484 h 1851821"/>
            <a:gd name="connsiteX48" fmla="*/ 2834193 w 4316511"/>
            <a:gd name="connsiteY48" fmla="*/ 1604965 h 1851821"/>
            <a:gd name="connsiteX49" fmla="*/ 2751181 w 4316511"/>
            <a:gd name="connsiteY49" fmla="*/ 1545434 h 1851821"/>
            <a:gd name="connsiteX50" fmla="*/ 2710862 w 4316511"/>
            <a:gd name="connsiteY50" fmla="*/ 1538290 h 1851821"/>
            <a:gd name="connsiteX51" fmla="*/ 2642084 w 4316511"/>
            <a:gd name="connsiteY51" fmla="*/ 1566865 h 1851821"/>
            <a:gd name="connsiteX52" fmla="*/ 2556702 w 4316511"/>
            <a:gd name="connsiteY52" fmla="*/ 1526384 h 1851821"/>
            <a:gd name="connsiteX53" fmla="*/ 2511639 w 4316511"/>
            <a:gd name="connsiteY53" fmla="*/ 1519240 h 1851821"/>
            <a:gd name="connsiteX54" fmla="*/ 2473692 w 4316511"/>
            <a:gd name="connsiteY54" fmla="*/ 1540671 h 1851821"/>
            <a:gd name="connsiteX55" fmla="*/ 2449973 w 4316511"/>
            <a:gd name="connsiteY55" fmla="*/ 1535909 h 1851821"/>
            <a:gd name="connsiteX56" fmla="*/ 2388310 w 4316511"/>
            <a:gd name="connsiteY56" fmla="*/ 1481140 h 1851821"/>
            <a:gd name="connsiteX57" fmla="*/ 2338504 w 4316511"/>
            <a:gd name="connsiteY57" fmla="*/ 1464471 h 1851821"/>
            <a:gd name="connsiteX58" fmla="*/ 2257866 w 4316511"/>
            <a:gd name="connsiteY58" fmla="*/ 1495428 h 1851821"/>
            <a:gd name="connsiteX59" fmla="*/ 2196202 w 4316511"/>
            <a:gd name="connsiteY59" fmla="*/ 1438277 h 1851821"/>
            <a:gd name="connsiteX60" fmla="*/ 2148427 w 4316511"/>
            <a:gd name="connsiteY60" fmla="*/ 1421607 h 1851821"/>
            <a:gd name="connsiteX61" fmla="*/ 2048194 w 4316511"/>
            <a:gd name="connsiteY61" fmla="*/ 1464470 h 1851821"/>
            <a:gd name="connsiteX62" fmla="*/ 1962291 w 4316511"/>
            <a:gd name="connsiteY62" fmla="*/ 1395414 h 1851821"/>
            <a:gd name="connsiteX63" fmla="*/ 1886299 w 4316511"/>
            <a:gd name="connsiteY63" fmla="*/ 1404939 h 1851821"/>
            <a:gd name="connsiteX64" fmla="*/ 1828758 w 4316511"/>
            <a:gd name="connsiteY64" fmla="*/ 1419227 h 1851821"/>
            <a:gd name="connsiteX65" fmla="*/ 1797754 w 4316511"/>
            <a:gd name="connsiteY65" fmla="*/ 1454947 h 1851821"/>
            <a:gd name="connsiteX66" fmla="*/ 1622248 w 4316511"/>
            <a:gd name="connsiteY66" fmla="*/ 1431134 h 1851821"/>
            <a:gd name="connsiteX67" fmla="*/ 1468087 w 4316511"/>
            <a:gd name="connsiteY67" fmla="*/ 1381126 h 1851821"/>
            <a:gd name="connsiteX68" fmla="*/ 1213101 w 4316511"/>
            <a:gd name="connsiteY68" fmla="*/ 1381127 h 1851821"/>
            <a:gd name="connsiteX69" fmla="*/ 763688 w 4316511"/>
            <a:gd name="connsiteY69" fmla="*/ 1285876 h 1851821"/>
            <a:gd name="connsiteX70" fmla="*/ 637859 w 4316511"/>
            <a:gd name="connsiteY70" fmla="*/ 1233489 h 1851821"/>
            <a:gd name="connsiteX71" fmla="*/ 404525 w 4316511"/>
            <a:gd name="connsiteY71" fmla="*/ 1216820 h 1851821"/>
            <a:gd name="connsiteX72" fmla="*/ 227685 w 4316511"/>
            <a:gd name="connsiteY72" fmla="*/ 1162052 h 1851821"/>
            <a:gd name="connsiteX73" fmla="*/ 0 w 4316511"/>
            <a:gd name="connsiteY73" fmla="*/ 1159670 h 1851821"/>
            <a:gd name="connsiteX74" fmla="*/ 15326 w 4316511"/>
            <a:gd name="connsiteY74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242987 w 4316511"/>
            <a:gd name="connsiteY28" fmla="*/ 1778796 h 1851821"/>
            <a:gd name="connsiteX29" fmla="*/ 4162348 w 4316511"/>
            <a:gd name="connsiteY29" fmla="*/ 1759746 h 1851821"/>
            <a:gd name="connsiteX30" fmla="*/ 4122030 w 4316511"/>
            <a:gd name="connsiteY30" fmla="*/ 1764509 h 1851821"/>
            <a:gd name="connsiteX31" fmla="*/ 4048506 w 4316511"/>
            <a:gd name="connsiteY31" fmla="*/ 1788321 h 1851821"/>
            <a:gd name="connsiteX32" fmla="*/ 3965496 w 4316511"/>
            <a:gd name="connsiteY32" fmla="*/ 1728790 h 1851821"/>
            <a:gd name="connsiteX33" fmla="*/ 3929919 w 4316511"/>
            <a:gd name="connsiteY33" fmla="*/ 1724027 h 1851821"/>
            <a:gd name="connsiteX34" fmla="*/ 3837426 w 4316511"/>
            <a:gd name="connsiteY34" fmla="*/ 1762127 h 1851821"/>
            <a:gd name="connsiteX35" fmla="*/ 3763901 w 4316511"/>
            <a:gd name="connsiteY35" fmla="*/ 1695452 h 1851821"/>
            <a:gd name="connsiteX36" fmla="*/ 3725953 w 4316511"/>
            <a:gd name="connsiteY36" fmla="*/ 1693071 h 1851821"/>
            <a:gd name="connsiteX37" fmla="*/ 3647689 w 4316511"/>
            <a:gd name="connsiteY37" fmla="*/ 1716883 h 1851821"/>
            <a:gd name="connsiteX38" fmla="*/ 3552819 w 4316511"/>
            <a:gd name="connsiteY38" fmla="*/ 1662115 h 1851821"/>
            <a:gd name="connsiteX39" fmla="*/ 3531474 w 4316511"/>
            <a:gd name="connsiteY39" fmla="*/ 1659733 h 1851821"/>
            <a:gd name="connsiteX40" fmla="*/ 3438978 w 4316511"/>
            <a:gd name="connsiteY40" fmla="*/ 1685927 h 1851821"/>
            <a:gd name="connsiteX41" fmla="*/ 3365454 w 4316511"/>
            <a:gd name="connsiteY41" fmla="*/ 1631159 h 1851821"/>
            <a:gd name="connsiteX42" fmla="*/ 3318020 w 4316511"/>
            <a:gd name="connsiteY42" fmla="*/ 1624015 h 1851821"/>
            <a:gd name="connsiteX43" fmla="*/ 3239755 w 4316511"/>
            <a:gd name="connsiteY43" fmla="*/ 1657352 h 1851821"/>
            <a:gd name="connsiteX44" fmla="*/ 3154372 w 4316511"/>
            <a:gd name="connsiteY44" fmla="*/ 1602584 h 1851821"/>
            <a:gd name="connsiteX45" fmla="*/ 3121169 w 4316511"/>
            <a:gd name="connsiteY45" fmla="*/ 1597821 h 1851821"/>
            <a:gd name="connsiteX46" fmla="*/ 3031045 w 4316511"/>
            <a:gd name="connsiteY46" fmla="*/ 1616871 h 1851821"/>
            <a:gd name="connsiteX47" fmla="*/ 2964635 w 4316511"/>
            <a:gd name="connsiteY47" fmla="*/ 1566865 h 1851821"/>
            <a:gd name="connsiteX48" fmla="*/ 2914829 w 4316511"/>
            <a:gd name="connsiteY48" fmla="*/ 1564484 h 1851821"/>
            <a:gd name="connsiteX49" fmla="*/ 2834193 w 4316511"/>
            <a:gd name="connsiteY49" fmla="*/ 1604965 h 1851821"/>
            <a:gd name="connsiteX50" fmla="*/ 2751181 w 4316511"/>
            <a:gd name="connsiteY50" fmla="*/ 1545434 h 1851821"/>
            <a:gd name="connsiteX51" fmla="*/ 2710862 w 4316511"/>
            <a:gd name="connsiteY51" fmla="*/ 1538290 h 1851821"/>
            <a:gd name="connsiteX52" fmla="*/ 2642084 w 4316511"/>
            <a:gd name="connsiteY52" fmla="*/ 1566865 h 1851821"/>
            <a:gd name="connsiteX53" fmla="*/ 2556702 w 4316511"/>
            <a:gd name="connsiteY53" fmla="*/ 1526384 h 1851821"/>
            <a:gd name="connsiteX54" fmla="*/ 2511639 w 4316511"/>
            <a:gd name="connsiteY54" fmla="*/ 1519240 h 1851821"/>
            <a:gd name="connsiteX55" fmla="*/ 2473692 w 4316511"/>
            <a:gd name="connsiteY55" fmla="*/ 1540671 h 1851821"/>
            <a:gd name="connsiteX56" fmla="*/ 2449973 w 4316511"/>
            <a:gd name="connsiteY56" fmla="*/ 1535909 h 1851821"/>
            <a:gd name="connsiteX57" fmla="*/ 2388310 w 4316511"/>
            <a:gd name="connsiteY57" fmla="*/ 1481140 h 1851821"/>
            <a:gd name="connsiteX58" fmla="*/ 2338504 w 4316511"/>
            <a:gd name="connsiteY58" fmla="*/ 1464471 h 1851821"/>
            <a:gd name="connsiteX59" fmla="*/ 2257866 w 4316511"/>
            <a:gd name="connsiteY59" fmla="*/ 1495428 h 1851821"/>
            <a:gd name="connsiteX60" fmla="*/ 2196202 w 4316511"/>
            <a:gd name="connsiteY60" fmla="*/ 1438277 h 1851821"/>
            <a:gd name="connsiteX61" fmla="*/ 2148427 w 4316511"/>
            <a:gd name="connsiteY61" fmla="*/ 1421607 h 1851821"/>
            <a:gd name="connsiteX62" fmla="*/ 2048194 w 4316511"/>
            <a:gd name="connsiteY62" fmla="*/ 1464470 h 1851821"/>
            <a:gd name="connsiteX63" fmla="*/ 1962291 w 4316511"/>
            <a:gd name="connsiteY63" fmla="*/ 1395414 h 1851821"/>
            <a:gd name="connsiteX64" fmla="*/ 1886299 w 4316511"/>
            <a:gd name="connsiteY64" fmla="*/ 1404939 h 1851821"/>
            <a:gd name="connsiteX65" fmla="*/ 1828758 w 4316511"/>
            <a:gd name="connsiteY65" fmla="*/ 1419227 h 1851821"/>
            <a:gd name="connsiteX66" fmla="*/ 1797754 w 4316511"/>
            <a:gd name="connsiteY66" fmla="*/ 1454947 h 1851821"/>
            <a:gd name="connsiteX67" fmla="*/ 1622248 w 4316511"/>
            <a:gd name="connsiteY67" fmla="*/ 1431134 h 1851821"/>
            <a:gd name="connsiteX68" fmla="*/ 1468087 w 4316511"/>
            <a:gd name="connsiteY68" fmla="*/ 1381126 h 1851821"/>
            <a:gd name="connsiteX69" fmla="*/ 1213101 w 4316511"/>
            <a:gd name="connsiteY69" fmla="*/ 1381127 h 1851821"/>
            <a:gd name="connsiteX70" fmla="*/ 763688 w 4316511"/>
            <a:gd name="connsiteY70" fmla="*/ 1285876 h 1851821"/>
            <a:gd name="connsiteX71" fmla="*/ 637859 w 4316511"/>
            <a:gd name="connsiteY71" fmla="*/ 1233489 h 1851821"/>
            <a:gd name="connsiteX72" fmla="*/ 404525 w 4316511"/>
            <a:gd name="connsiteY72" fmla="*/ 1216820 h 1851821"/>
            <a:gd name="connsiteX73" fmla="*/ 227685 w 4316511"/>
            <a:gd name="connsiteY73" fmla="*/ 1162052 h 1851821"/>
            <a:gd name="connsiteX74" fmla="*/ 0 w 4316511"/>
            <a:gd name="connsiteY74" fmla="*/ 1159670 h 1851821"/>
            <a:gd name="connsiteX75" fmla="*/ 15326 w 4316511"/>
            <a:gd name="connsiteY75" fmla="*/ 0 h 1851821"/>
            <a:gd name="connsiteX0" fmla="*/ 15326 w 4316511"/>
            <a:gd name="connsiteY0" fmla="*/ 0 h 1851821"/>
            <a:gd name="connsiteX1" fmla="*/ 3971371 w 4316511"/>
            <a:gd name="connsiteY1" fmla="*/ 33339 h 1851821"/>
            <a:gd name="connsiteX2" fmla="*/ 2776336 w 4316511"/>
            <a:gd name="connsiteY2" fmla="*/ 845346 h 1851821"/>
            <a:gd name="connsiteX3" fmla="*/ 2682403 w 4316511"/>
            <a:gd name="connsiteY3" fmla="*/ 800102 h 1851821"/>
            <a:gd name="connsiteX4" fmla="*/ 2646827 w 4316511"/>
            <a:gd name="connsiteY4" fmla="*/ 792959 h 1851821"/>
            <a:gd name="connsiteX5" fmla="*/ 2563818 w 4316511"/>
            <a:gd name="connsiteY5" fmla="*/ 816772 h 1851821"/>
            <a:gd name="connsiteX6" fmla="*/ 2492667 w 4316511"/>
            <a:gd name="connsiteY6" fmla="*/ 754859 h 1851821"/>
            <a:gd name="connsiteX7" fmla="*/ 2449975 w 4316511"/>
            <a:gd name="connsiteY7" fmla="*/ 750096 h 1851821"/>
            <a:gd name="connsiteX8" fmla="*/ 2362223 w 4316511"/>
            <a:gd name="connsiteY8" fmla="*/ 776290 h 1851821"/>
            <a:gd name="connsiteX9" fmla="*/ 2291072 w 4316511"/>
            <a:gd name="connsiteY9" fmla="*/ 714377 h 1851821"/>
            <a:gd name="connsiteX10" fmla="*/ 2243917 w 4316511"/>
            <a:gd name="connsiteY10" fmla="*/ 704850 h 1851821"/>
            <a:gd name="connsiteX11" fmla="*/ 2153512 w 4316511"/>
            <a:gd name="connsiteY11" fmla="*/ 733428 h 1851821"/>
            <a:gd name="connsiteX12" fmla="*/ 2070351 w 4316511"/>
            <a:gd name="connsiteY12" fmla="*/ 673894 h 1851821"/>
            <a:gd name="connsiteX13" fmla="*/ 1947264 w 4316511"/>
            <a:gd name="connsiteY13" fmla="*/ 707233 h 1851821"/>
            <a:gd name="connsiteX14" fmla="*/ 1899741 w 4316511"/>
            <a:gd name="connsiteY14" fmla="*/ 723902 h 1851821"/>
            <a:gd name="connsiteX15" fmla="*/ 1861792 w 4316511"/>
            <a:gd name="connsiteY15" fmla="*/ 757240 h 1851821"/>
            <a:gd name="connsiteX16" fmla="*/ 1892625 w 4316511"/>
            <a:gd name="connsiteY16" fmla="*/ 835822 h 1851821"/>
            <a:gd name="connsiteX17" fmla="*/ 2181972 w 4316511"/>
            <a:gd name="connsiteY17" fmla="*/ 1007269 h 1851821"/>
            <a:gd name="connsiteX18" fmla="*/ 2457090 w 4316511"/>
            <a:gd name="connsiteY18" fmla="*/ 1128714 h 1851821"/>
            <a:gd name="connsiteX19" fmla="*/ 2708489 w 4316511"/>
            <a:gd name="connsiteY19" fmla="*/ 1214438 h 1851821"/>
            <a:gd name="connsiteX20" fmla="*/ 2983608 w 4316511"/>
            <a:gd name="connsiteY20" fmla="*/ 1290638 h 1851821"/>
            <a:gd name="connsiteX21" fmla="*/ 3201807 w 4316511"/>
            <a:gd name="connsiteY21" fmla="*/ 1331118 h 1851821"/>
            <a:gd name="connsiteX22" fmla="*/ 3484038 w 4316511"/>
            <a:gd name="connsiteY22" fmla="*/ 1404937 h 1851821"/>
            <a:gd name="connsiteX23" fmla="*/ 3593137 w 4316511"/>
            <a:gd name="connsiteY23" fmla="*/ 1400175 h 1851821"/>
            <a:gd name="connsiteX24" fmla="*/ 3808963 w 4316511"/>
            <a:gd name="connsiteY24" fmla="*/ 1464468 h 1851821"/>
            <a:gd name="connsiteX25" fmla="*/ 4242986 w 4316511"/>
            <a:gd name="connsiteY25" fmla="*/ 1564482 h 1851821"/>
            <a:gd name="connsiteX26" fmla="*/ 4316511 w 4316511"/>
            <a:gd name="connsiteY26" fmla="*/ 1590677 h 1851821"/>
            <a:gd name="connsiteX27" fmla="*/ 4309298 w 4316511"/>
            <a:gd name="connsiteY27" fmla="*/ 1797845 h 1851821"/>
            <a:gd name="connsiteX28" fmla="*/ 4240614 w 4316511"/>
            <a:gd name="connsiteY28" fmla="*/ 1824040 h 1851821"/>
            <a:gd name="connsiteX29" fmla="*/ 4162348 w 4316511"/>
            <a:gd name="connsiteY29" fmla="*/ 1759746 h 1851821"/>
            <a:gd name="connsiteX30" fmla="*/ 4122030 w 4316511"/>
            <a:gd name="connsiteY30" fmla="*/ 1764509 h 1851821"/>
            <a:gd name="connsiteX31" fmla="*/ 4048506 w 4316511"/>
            <a:gd name="connsiteY31" fmla="*/ 1788321 h 1851821"/>
            <a:gd name="connsiteX32" fmla="*/ 3965496 w 4316511"/>
            <a:gd name="connsiteY32" fmla="*/ 1728790 h 1851821"/>
            <a:gd name="connsiteX33" fmla="*/ 3929919 w 4316511"/>
            <a:gd name="connsiteY33" fmla="*/ 1724027 h 1851821"/>
            <a:gd name="connsiteX34" fmla="*/ 3837426 w 4316511"/>
            <a:gd name="connsiteY34" fmla="*/ 1762127 h 1851821"/>
            <a:gd name="connsiteX35" fmla="*/ 3763901 w 4316511"/>
            <a:gd name="connsiteY35" fmla="*/ 1695452 h 1851821"/>
            <a:gd name="connsiteX36" fmla="*/ 3725953 w 4316511"/>
            <a:gd name="connsiteY36" fmla="*/ 1693071 h 1851821"/>
            <a:gd name="connsiteX37" fmla="*/ 3647689 w 4316511"/>
            <a:gd name="connsiteY37" fmla="*/ 1716883 h 1851821"/>
            <a:gd name="connsiteX38" fmla="*/ 3552819 w 4316511"/>
            <a:gd name="connsiteY38" fmla="*/ 1662115 h 1851821"/>
            <a:gd name="connsiteX39" fmla="*/ 3531474 w 4316511"/>
            <a:gd name="connsiteY39" fmla="*/ 1659733 h 1851821"/>
            <a:gd name="connsiteX40" fmla="*/ 3438978 w 4316511"/>
            <a:gd name="connsiteY40" fmla="*/ 1685927 h 1851821"/>
            <a:gd name="connsiteX41" fmla="*/ 3365454 w 4316511"/>
            <a:gd name="connsiteY41" fmla="*/ 1631159 h 1851821"/>
            <a:gd name="connsiteX42" fmla="*/ 3318020 w 4316511"/>
            <a:gd name="connsiteY42" fmla="*/ 1624015 h 1851821"/>
            <a:gd name="connsiteX43" fmla="*/ 3239755 w 4316511"/>
            <a:gd name="connsiteY43" fmla="*/ 1657352 h 1851821"/>
            <a:gd name="connsiteX44" fmla="*/ 3154372 w 4316511"/>
            <a:gd name="connsiteY44" fmla="*/ 1602584 h 1851821"/>
            <a:gd name="connsiteX45" fmla="*/ 3121169 w 4316511"/>
            <a:gd name="connsiteY45" fmla="*/ 1597821 h 1851821"/>
            <a:gd name="connsiteX46" fmla="*/ 3031045 w 4316511"/>
            <a:gd name="connsiteY46" fmla="*/ 1616871 h 1851821"/>
            <a:gd name="connsiteX47" fmla="*/ 2964635 w 4316511"/>
            <a:gd name="connsiteY47" fmla="*/ 1566865 h 1851821"/>
            <a:gd name="connsiteX48" fmla="*/ 2914829 w 4316511"/>
            <a:gd name="connsiteY48" fmla="*/ 1564484 h 1851821"/>
            <a:gd name="connsiteX49" fmla="*/ 2834193 w 4316511"/>
            <a:gd name="connsiteY49" fmla="*/ 1604965 h 1851821"/>
            <a:gd name="connsiteX50" fmla="*/ 2751181 w 4316511"/>
            <a:gd name="connsiteY50" fmla="*/ 1545434 h 1851821"/>
            <a:gd name="connsiteX51" fmla="*/ 2710862 w 4316511"/>
            <a:gd name="connsiteY51" fmla="*/ 1538290 h 1851821"/>
            <a:gd name="connsiteX52" fmla="*/ 2642084 w 4316511"/>
            <a:gd name="connsiteY52" fmla="*/ 1566865 h 1851821"/>
            <a:gd name="connsiteX53" fmla="*/ 2556702 w 4316511"/>
            <a:gd name="connsiteY53" fmla="*/ 1526384 h 1851821"/>
            <a:gd name="connsiteX54" fmla="*/ 2511639 w 4316511"/>
            <a:gd name="connsiteY54" fmla="*/ 1519240 h 1851821"/>
            <a:gd name="connsiteX55" fmla="*/ 2473692 w 4316511"/>
            <a:gd name="connsiteY55" fmla="*/ 1540671 h 1851821"/>
            <a:gd name="connsiteX56" fmla="*/ 2449973 w 4316511"/>
            <a:gd name="connsiteY56" fmla="*/ 1535909 h 1851821"/>
            <a:gd name="connsiteX57" fmla="*/ 2388310 w 4316511"/>
            <a:gd name="connsiteY57" fmla="*/ 1481140 h 1851821"/>
            <a:gd name="connsiteX58" fmla="*/ 2338504 w 4316511"/>
            <a:gd name="connsiteY58" fmla="*/ 1464471 h 1851821"/>
            <a:gd name="connsiteX59" fmla="*/ 2257866 w 4316511"/>
            <a:gd name="connsiteY59" fmla="*/ 1495428 h 1851821"/>
            <a:gd name="connsiteX60" fmla="*/ 2196202 w 4316511"/>
            <a:gd name="connsiteY60" fmla="*/ 1438277 h 1851821"/>
            <a:gd name="connsiteX61" fmla="*/ 2148427 w 4316511"/>
            <a:gd name="connsiteY61" fmla="*/ 1421607 h 1851821"/>
            <a:gd name="connsiteX62" fmla="*/ 2048194 w 4316511"/>
            <a:gd name="connsiteY62" fmla="*/ 1464470 h 1851821"/>
            <a:gd name="connsiteX63" fmla="*/ 1962291 w 4316511"/>
            <a:gd name="connsiteY63" fmla="*/ 1395414 h 1851821"/>
            <a:gd name="connsiteX64" fmla="*/ 1886299 w 4316511"/>
            <a:gd name="connsiteY64" fmla="*/ 1404939 h 1851821"/>
            <a:gd name="connsiteX65" fmla="*/ 1828758 w 4316511"/>
            <a:gd name="connsiteY65" fmla="*/ 1419227 h 1851821"/>
            <a:gd name="connsiteX66" fmla="*/ 1797754 w 4316511"/>
            <a:gd name="connsiteY66" fmla="*/ 1454947 h 1851821"/>
            <a:gd name="connsiteX67" fmla="*/ 1622248 w 4316511"/>
            <a:gd name="connsiteY67" fmla="*/ 1431134 h 1851821"/>
            <a:gd name="connsiteX68" fmla="*/ 1468087 w 4316511"/>
            <a:gd name="connsiteY68" fmla="*/ 1381126 h 1851821"/>
            <a:gd name="connsiteX69" fmla="*/ 1213101 w 4316511"/>
            <a:gd name="connsiteY69" fmla="*/ 1381127 h 1851821"/>
            <a:gd name="connsiteX70" fmla="*/ 763688 w 4316511"/>
            <a:gd name="connsiteY70" fmla="*/ 1285876 h 1851821"/>
            <a:gd name="connsiteX71" fmla="*/ 637859 w 4316511"/>
            <a:gd name="connsiteY71" fmla="*/ 1233489 h 1851821"/>
            <a:gd name="connsiteX72" fmla="*/ 404525 w 4316511"/>
            <a:gd name="connsiteY72" fmla="*/ 1216820 h 1851821"/>
            <a:gd name="connsiteX73" fmla="*/ 227685 w 4316511"/>
            <a:gd name="connsiteY73" fmla="*/ 1162052 h 1851821"/>
            <a:gd name="connsiteX74" fmla="*/ 0 w 4316511"/>
            <a:gd name="connsiteY74" fmla="*/ 1159670 h 1851821"/>
            <a:gd name="connsiteX75" fmla="*/ 15326 w 4316511"/>
            <a:gd name="connsiteY75" fmla="*/ 0 h 18518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4316511" h="1851821">
              <a:moveTo>
                <a:pt x="15326" y="0"/>
              </a:moveTo>
              <a:lnTo>
                <a:pt x="3971371" y="33339"/>
              </a:lnTo>
              <a:lnTo>
                <a:pt x="2776336" y="845346"/>
              </a:lnTo>
              <a:lnTo>
                <a:pt x="2682403" y="800102"/>
              </a:lnTo>
              <a:lnTo>
                <a:pt x="2646827" y="792959"/>
              </a:lnTo>
              <a:lnTo>
                <a:pt x="2563818" y="816772"/>
              </a:lnTo>
              <a:lnTo>
                <a:pt x="2492667" y="754859"/>
              </a:lnTo>
              <a:lnTo>
                <a:pt x="2449975" y="750096"/>
              </a:lnTo>
              <a:lnTo>
                <a:pt x="2362223" y="776290"/>
              </a:lnTo>
              <a:lnTo>
                <a:pt x="2291072" y="714377"/>
              </a:lnTo>
              <a:lnTo>
                <a:pt x="2243917" y="704850"/>
              </a:lnTo>
              <a:lnTo>
                <a:pt x="2153512" y="733428"/>
              </a:lnTo>
              <a:lnTo>
                <a:pt x="2070351" y="673894"/>
              </a:lnTo>
              <a:lnTo>
                <a:pt x="1947264" y="707233"/>
              </a:lnTo>
              <a:lnTo>
                <a:pt x="1899741" y="723902"/>
              </a:lnTo>
              <a:lnTo>
                <a:pt x="1861792" y="757240"/>
              </a:lnTo>
              <a:lnTo>
                <a:pt x="1892625" y="835822"/>
              </a:lnTo>
              <a:cubicBezTo>
                <a:pt x="2015952" y="881065"/>
                <a:pt x="2058644" y="954882"/>
                <a:pt x="2181972" y="1007269"/>
              </a:cubicBezTo>
              <a:cubicBezTo>
                <a:pt x="2244427" y="1017588"/>
                <a:pt x="2394635" y="1104108"/>
                <a:pt x="2457090" y="1128714"/>
              </a:cubicBezTo>
              <a:lnTo>
                <a:pt x="2708489" y="1214438"/>
              </a:lnTo>
              <a:lnTo>
                <a:pt x="2983608" y="1290638"/>
              </a:lnTo>
              <a:lnTo>
                <a:pt x="3201807" y="1331118"/>
              </a:lnTo>
              <a:lnTo>
                <a:pt x="3484038" y="1404937"/>
              </a:lnTo>
              <a:cubicBezTo>
                <a:pt x="3586416" y="1421606"/>
                <a:pt x="3523171" y="1387475"/>
                <a:pt x="3593137" y="1400175"/>
              </a:cubicBezTo>
              <a:lnTo>
                <a:pt x="3808963" y="1464468"/>
              </a:lnTo>
              <a:lnTo>
                <a:pt x="4242986" y="1564482"/>
              </a:lnTo>
              <a:lnTo>
                <a:pt x="4316511" y="1590677"/>
              </a:lnTo>
              <a:cubicBezTo>
                <a:pt x="4314107" y="1851821"/>
                <a:pt x="4311702" y="1536701"/>
                <a:pt x="4309298" y="1797845"/>
              </a:cubicBezTo>
              <a:lnTo>
                <a:pt x="4240614" y="1824040"/>
              </a:lnTo>
              <a:lnTo>
                <a:pt x="4162348" y="1759746"/>
              </a:lnTo>
              <a:lnTo>
                <a:pt x="4122030" y="1764509"/>
              </a:lnTo>
              <a:lnTo>
                <a:pt x="4048506" y="1788321"/>
              </a:lnTo>
              <a:lnTo>
                <a:pt x="3965496" y="1728790"/>
              </a:lnTo>
              <a:lnTo>
                <a:pt x="3929919" y="1724027"/>
              </a:lnTo>
              <a:lnTo>
                <a:pt x="3837426" y="1762127"/>
              </a:lnTo>
              <a:lnTo>
                <a:pt x="3763901" y="1695452"/>
              </a:lnTo>
              <a:lnTo>
                <a:pt x="3725953" y="1693071"/>
              </a:lnTo>
              <a:lnTo>
                <a:pt x="3647689" y="1716883"/>
              </a:lnTo>
              <a:lnTo>
                <a:pt x="3552819" y="1662115"/>
              </a:lnTo>
              <a:lnTo>
                <a:pt x="3531474" y="1659733"/>
              </a:lnTo>
              <a:lnTo>
                <a:pt x="3438978" y="1685927"/>
              </a:lnTo>
              <a:lnTo>
                <a:pt x="3365454" y="1631159"/>
              </a:lnTo>
              <a:lnTo>
                <a:pt x="3318020" y="1624015"/>
              </a:lnTo>
              <a:lnTo>
                <a:pt x="3239755" y="1657352"/>
              </a:lnTo>
              <a:lnTo>
                <a:pt x="3154372" y="1602584"/>
              </a:lnTo>
              <a:lnTo>
                <a:pt x="3121169" y="1597821"/>
              </a:lnTo>
              <a:lnTo>
                <a:pt x="3031045" y="1616871"/>
              </a:lnTo>
              <a:lnTo>
                <a:pt x="2964635" y="1566865"/>
              </a:lnTo>
              <a:lnTo>
                <a:pt x="2914829" y="1564484"/>
              </a:lnTo>
              <a:lnTo>
                <a:pt x="2834193" y="1604965"/>
              </a:lnTo>
              <a:lnTo>
                <a:pt x="2751181" y="1545434"/>
              </a:lnTo>
              <a:lnTo>
                <a:pt x="2710862" y="1538290"/>
              </a:lnTo>
              <a:lnTo>
                <a:pt x="2642084" y="1566865"/>
              </a:lnTo>
              <a:lnTo>
                <a:pt x="2556702" y="1526384"/>
              </a:lnTo>
              <a:lnTo>
                <a:pt x="2511639" y="1519240"/>
              </a:lnTo>
              <a:lnTo>
                <a:pt x="2473692" y="1540671"/>
              </a:lnTo>
              <a:lnTo>
                <a:pt x="2449973" y="1535909"/>
              </a:lnTo>
              <a:lnTo>
                <a:pt x="2388310" y="1481140"/>
              </a:lnTo>
              <a:lnTo>
                <a:pt x="2338504" y="1464471"/>
              </a:lnTo>
              <a:lnTo>
                <a:pt x="2257866" y="1495428"/>
              </a:lnTo>
              <a:lnTo>
                <a:pt x="2196202" y="1438277"/>
              </a:lnTo>
              <a:lnTo>
                <a:pt x="2148427" y="1421607"/>
              </a:lnTo>
              <a:lnTo>
                <a:pt x="2048194" y="1464470"/>
              </a:lnTo>
              <a:lnTo>
                <a:pt x="1962291" y="1395414"/>
              </a:lnTo>
              <a:lnTo>
                <a:pt x="1886299" y="1404939"/>
              </a:lnTo>
              <a:lnTo>
                <a:pt x="1828758" y="1419227"/>
              </a:lnTo>
              <a:lnTo>
                <a:pt x="1797754" y="1454947"/>
              </a:lnTo>
              <a:lnTo>
                <a:pt x="1622248" y="1431134"/>
              </a:lnTo>
              <a:lnTo>
                <a:pt x="1468087" y="1381126"/>
              </a:lnTo>
              <a:lnTo>
                <a:pt x="1213101" y="1381127"/>
              </a:lnTo>
              <a:lnTo>
                <a:pt x="763688" y="1285876"/>
              </a:lnTo>
              <a:lnTo>
                <a:pt x="637859" y="1233489"/>
              </a:lnTo>
              <a:lnTo>
                <a:pt x="404525" y="1216820"/>
              </a:lnTo>
              <a:lnTo>
                <a:pt x="227685" y="1162052"/>
              </a:lnTo>
              <a:lnTo>
                <a:pt x="0" y="1159670"/>
              </a:lnTo>
              <a:lnTo>
                <a:pt x="15326" y="0"/>
              </a:lnTo>
              <a:close/>
            </a:path>
          </a:pathLst>
        </a:custGeom>
        <a:solidFill>
          <a:srgbClr val="0099FF">
            <a:alpha val="3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57150</xdr:colOff>
      <xdr:row>21</xdr:row>
      <xdr:rowOff>171450</xdr:rowOff>
    </xdr:from>
    <xdr:to>
      <xdr:col>17</xdr:col>
      <xdr:colOff>159544</xdr:colOff>
      <xdr:row>26</xdr:row>
      <xdr:rowOff>177800</xdr:rowOff>
    </xdr:to>
    <xdr:sp macro="" textlink="">
      <xdr:nvSpPr>
        <xdr:cNvPr id="22" name="Freeform 21"/>
        <xdr:cNvSpPr/>
      </xdr:nvSpPr>
      <xdr:spPr>
        <a:xfrm>
          <a:off x="9201150" y="5219700"/>
          <a:ext cx="1321594" cy="958850"/>
        </a:xfrm>
        <a:custGeom>
          <a:avLst/>
          <a:gdLst>
            <a:gd name="connsiteX0" fmla="*/ 0 w 1257300"/>
            <a:gd name="connsiteY0" fmla="*/ 0 h 958850"/>
            <a:gd name="connsiteX1" fmla="*/ 57150 w 1257300"/>
            <a:gd name="connsiteY1" fmla="*/ 447675 h 958850"/>
            <a:gd name="connsiteX2" fmla="*/ 57150 w 1257300"/>
            <a:gd name="connsiteY2" fmla="*/ 447675 h 958850"/>
            <a:gd name="connsiteX3" fmla="*/ 190500 w 1257300"/>
            <a:gd name="connsiteY3" fmla="*/ 742950 h 958850"/>
            <a:gd name="connsiteX4" fmla="*/ 428625 w 1257300"/>
            <a:gd name="connsiteY4" fmla="*/ 914400 h 958850"/>
            <a:gd name="connsiteX5" fmla="*/ 714375 w 1257300"/>
            <a:gd name="connsiteY5" fmla="*/ 952500 h 958850"/>
            <a:gd name="connsiteX6" fmla="*/ 1257300 w 1257300"/>
            <a:gd name="connsiteY6" fmla="*/ 876300 h 958850"/>
            <a:gd name="connsiteX0" fmla="*/ 0 w 1323975"/>
            <a:gd name="connsiteY0" fmla="*/ 0 h 962025"/>
            <a:gd name="connsiteX1" fmla="*/ 57150 w 1323975"/>
            <a:gd name="connsiteY1" fmla="*/ 447675 h 962025"/>
            <a:gd name="connsiteX2" fmla="*/ 57150 w 1323975"/>
            <a:gd name="connsiteY2" fmla="*/ 447675 h 962025"/>
            <a:gd name="connsiteX3" fmla="*/ 190500 w 1323975"/>
            <a:gd name="connsiteY3" fmla="*/ 742950 h 962025"/>
            <a:gd name="connsiteX4" fmla="*/ 428625 w 1323975"/>
            <a:gd name="connsiteY4" fmla="*/ 914400 h 962025"/>
            <a:gd name="connsiteX5" fmla="*/ 714375 w 1323975"/>
            <a:gd name="connsiteY5" fmla="*/ 952500 h 962025"/>
            <a:gd name="connsiteX6" fmla="*/ 1323975 w 1323975"/>
            <a:gd name="connsiteY6" fmla="*/ 857250 h 962025"/>
            <a:gd name="connsiteX0" fmla="*/ 0 w 1319212"/>
            <a:gd name="connsiteY0" fmla="*/ 0 h 960041"/>
            <a:gd name="connsiteX1" fmla="*/ 57150 w 1319212"/>
            <a:gd name="connsiteY1" fmla="*/ 447675 h 960041"/>
            <a:gd name="connsiteX2" fmla="*/ 57150 w 1319212"/>
            <a:gd name="connsiteY2" fmla="*/ 447675 h 960041"/>
            <a:gd name="connsiteX3" fmla="*/ 190500 w 1319212"/>
            <a:gd name="connsiteY3" fmla="*/ 742950 h 960041"/>
            <a:gd name="connsiteX4" fmla="*/ 428625 w 1319212"/>
            <a:gd name="connsiteY4" fmla="*/ 914400 h 960041"/>
            <a:gd name="connsiteX5" fmla="*/ 714375 w 1319212"/>
            <a:gd name="connsiteY5" fmla="*/ 952500 h 960041"/>
            <a:gd name="connsiteX6" fmla="*/ 1319212 w 1319212"/>
            <a:gd name="connsiteY6" fmla="*/ 869156 h 960041"/>
            <a:gd name="connsiteX0" fmla="*/ 0 w 1321594"/>
            <a:gd name="connsiteY0" fmla="*/ 0 h 958850"/>
            <a:gd name="connsiteX1" fmla="*/ 57150 w 1321594"/>
            <a:gd name="connsiteY1" fmla="*/ 447675 h 958850"/>
            <a:gd name="connsiteX2" fmla="*/ 57150 w 1321594"/>
            <a:gd name="connsiteY2" fmla="*/ 447675 h 958850"/>
            <a:gd name="connsiteX3" fmla="*/ 190500 w 1321594"/>
            <a:gd name="connsiteY3" fmla="*/ 742950 h 958850"/>
            <a:gd name="connsiteX4" fmla="*/ 428625 w 1321594"/>
            <a:gd name="connsiteY4" fmla="*/ 914400 h 958850"/>
            <a:gd name="connsiteX5" fmla="*/ 714375 w 1321594"/>
            <a:gd name="connsiteY5" fmla="*/ 952500 h 958850"/>
            <a:gd name="connsiteX6" fmla="*/ 1321594 w 1321594"/>
            <a:gd name="connsiteY6" fmla="*/ 876300 h 958850"/>
            <a:gd name="connsiteX0" fmla="*/ 0 w 1321594"/>
            <a:gd name="connsiteY0" fmla="*/ 0 h 958850"/>
            <a:gd name="connsiteX1" fmla="*/ 57150 w 1321594"/>
            <a:gd name="connsiteY1" fmla="*/ 447675 h 958850"/>
            <a:gd name="connsiteX2" fmla="*/ 57150 w 1321594"/>
            <a:gd name="connsiteY2" fmla="*/ 447675 h 958850"/>
            <a:gd name="connsiteX3" fmla="*/ 190500 w 1321594"/>
            <a:gd name="connsiteY3" fmla="*/ 742950 h 958850"/>
            <a:gd name="connsiteX4" fmla="*/ 428625 w 1321594"/>
            <a:gd name="connsiteY4" fmla="*/ 914400 h 958850"/>
            <a:gd name="connsiteX5" fmla="*/ 714375 w 1321594"/>
            <a:gd name="connsiteY5" fmla="*/ 952500 h 958850"/>
            <a:gd name="connsiteX6" fmla="*/ 1321594 w 1321594"/>
            <a:gd name="connsiteY6" fmla="*/ 876300 h 958850"/>
            <a:gd name="connsiteX0" fmla="*/ 0 w 1321594"/>
            <a:gd name="connsiteY0" fmla="*/ 0 h 958850"/>
            <a:gd name="connsiteX1" fmla="*/ 57150 w 1321594"/>
            <a:gd name="connsiteY1" fmla="*/ 447675 h 958850"/>
            <a:gd name="connsiteX2" fmla="*/ 57150 w 1321594"/>
            <a:gd name="connsiteY2" fmla="*/ 447675 h 958850"/>
            <a:gd name="connsiteX3" fmla="*/ 190500 w 1321594"/>
            <a:gd name="connsiteY3" fmla="*/ 742950 h 958850"/>
            <a:gd name="connsiteX4" fmla="*/ 428625 w 1321594"/>
            <a:gd name="connsiteY4" fmla="*/ 914400 h 958850"/>
            <a:gd name="connsiteX5" fmla="*/ 714375 w 1321594"/>
            <a:gd name="connsiteY5" fmla="*/ 952500 h 958850"/>
            <a:gd name="connsiteX6" fmla="*/ 1321594 w 1321594"/>
            <a:gd name="connsiteY6" fmla="*/ 876300 h 958850"/>
            <a:gd name="connsiteX0" fmla="*/ 0 w 1321594"/>
            <a:gd name="connsiteY0" fmla="*/ 0 h 958850"/>
            <a:gd name="connsiteX1" fmla="*/ 57150 w 1321594"/>
            <a:gd name="connsiteY1" fmla="*/ 447675 h 958850"/>
            <a:gd name="connsiteX2" fmla="*/ 57150 w 1321594"/>
            <a:gd name="connsiteY2" fmla="*/ 447675 h 958850"/>
            <a:gd name="connsiteX3" fmla="*/ 85725 w 1321594"/>
            <a:gd name="connsiteY3" fmla="*/ 528638 h 958850"/>
            <a:gd name="connsiteX4" fmla="*/ 190500 w 1321594"/>
            <a:gd name="connsiteY4" fmla="*/ 742950 h 958850"/>
            <a:gd name="connsiteX5" fmla="*/ 428625 w 1321594"/>
            <a:gd name="connsiteY5" fmla="*/ 914400 h 958850"/>
            <a:gd name="connsiteX6" fmla="*/ 714375 w 1321594"/>
            <a:gd name="connsiteY6" fmla="*/ 952500 h 958850"/>
            <a:gd name="connsiteX7" fmla="*/ 1321594 w 1321594"/>
            <a:gd name="connsiteY7" fmla="*/ 876300 h 958850"/>
            <a:gd name="connsiteX0" fmla="*/ 0 w 1321594"/>
            <a:gd name="connsiteY0" fmla="*/ 0 h 958850"/>
            <a:gd name="connsiteX1" fmla="*/ 57150 w 1321594"/>
            <a:gd name="connsiteY1" fmla="*/ 447675 h 958850"/>
            <a:gd name="connsiteX2" fmla="*/ 57150 w 1321594"/>
            <a:gd name="connsiteY2" fmla="*/ 447675 h 958850"/>
            <a:gd name="connsiteX3" fmla="*/ 83344 w 1321594"/>
            <a:gd name="connsiteY3" fmla="*/ 552450 h 958850"/>
            <a:gd name="connsiteX4" fmla="*/ 190500 w 1321594"/>
            <a:gd name="connsiteY4" fmla="*/ 742950 h 958850"/>
            <a:gd name="connsiteX5" fmla="*/ 428625 w 1321594"/>
            <a:gd name="connsiteY5" fmla="*/ 914400 h 958850"/>
            <a:gd name="connsiteX6" fmla="*/ 714375 w 1321594"/>
            <a:gd name="connsiteY6" fmla="*/ 952500 h 958850"/>
            <a:gd name="connsiteX7" fmla="*/ 1321594 w 1321594"/>
            <a:gd name="connsiteY7" fmla="*/ 876300 h 958850"/>
            <a:gd name="connsiteX0" fmla="*/ 0 w 1321594"/>
            <a:gd name="connsiteY0" fmla="*/ 0 h 958850"/>
            <a:gd name="connsiteX1" fmla="*/ 30956 w 1321594"/>
            <a:gd name="connsiteY1" fmla="*/ 257175 h 958850"/>
            <a:gd name="connsiteX2" fmla="*/ 57150 w 1321594"/>
            <a:gd name="connsiteY2" fmla="*/ 447675 h 958850"/>
            <a:gd name="connsiteX3" fmla="*/ 57150 w 1321594"/>
            <a:gd name="connsiteY3" fmla="*/ 447675 h 958850"/>
            <a:gd name="connsiteX4" fmla="*/ 83344 w 1321594"/>
            <a:gd name="connsiteY4" fmla="*/ 552450 h 958850"/>
            <a:gd name="connsiteX5" fmla="*/ 190500 w 1321594"/>
            <a:gd name="connsiteY5" fmla="*/ 742950 h 958850"/>
            <a:gd name="connsiteX6" fmla="*/ 428625 w 1321594"/>
            <a:gd name="connsiteY6" fmla="*/ 914400 h 958850"/>
            <a:gd name="connsiteX7" fmla="*/ 714375 w 1321594"/>
            <a:gd name="connsiteY7" fmla="*/ 952500 h 958850"/>
            <a:gd name="connsiteX8" fmla="*/ 1321594 w 1321594"/>
            <a:gd name="connsiteY8" fmla="*/ 876300 h 958850"/>
            <a:gd name="connsiteX0" fmla="*/ 0 w 1321594"/>
            <a:gd name="connsiteY0" fmla="*/ 0 h 958850"/>
            <a:gd name="connsiteX1" fmla="*/ 23812 w 1321594"/>
            <a:gd name="connsiteY1" fmla="*/ 273843 h 958850"/>
            <a:gd name="connsiteX2" fmla="*/ 57150 w 1321594"/>
            <a:gd name="connsiteY2" fmla="*/ 447675 h 958850"/>
            <a:gd name="connsiteX3" fmla="*/ 57150 w 1321594"/>
            <a:gd name="connsiteY3" fmla="*/ 447675 h 958850"/>
            <a:gd name="connsiteX4" fmla="*/ 83344 w 1321594"/>
            <a:gd name="connsiteY4" fmla="*/ 552450 h 958850"/>
            <a:gd name="connsiteX5" fmla="*/ 190500 w 1321594"/>
            <a:gd name="connsiteY5" fmla="*/ 742950 h 958850"/>
            <a:gd name="connsiteX6" fmla="*/ 428625 w 1321594"/>
            <a:gd name="connsiteY6" fmla="*/ 914400 h 958850"/>
            <a:gd name="connsiteX7" fmla="*/ 714375 w 1321594"/>
            <a:gd name="connsiteY7" fmla="*/ 952500 h 958850"/>
            <a:gd name="connsiteX8" fmla="*/ 1321594 w 1321594"/>
            <a:gd name="connsiteY8" fmla="*/ 876300 h 958850"/>
            <a:gd name="connsiteX0" fmla="*/ 0 w 1321594"/>
            <a:gd name="connsiteY0" fmla="*/ 0 h 958850"/>
            <a:gd name="connsiteX1" fmla="*/ 23812 w 1321594"/>
            <a:gd name="connsiteY1" fmla="*/ 273843 h 958850"/>
            <a:gd name="connsiteX2" fmla="*/ 57150 w 1321594"/>
            <a:gd name="connsiteY2" fmla="*/ 447675 h 958850"/>
            <a:gd name="connsiteX3" fmla="*/ 57150 w 1321594"/>
            <a:gd name="connsiteY3" fmla="*/ 447675 h 958850"/>
            <a:gd name="connsiteX4" fmla="*/ 83344 w 1321594"/>
            <a:gd name="connsiteY4" fmla="*/ 552450 h 958850"/>
            <a:gd name="connsiteX5" fmla="*/ 190500 w 1321594"/>
            <a:gd name="connsiteY5" fmla="*/ 742950 h 958850"/>
            <a:gd name="connsiteX6" fmla="*/ 428625 w 1321594"/>
            <a:gd name="connsiteY6" fmla="*/ 914400 h 958850"/>
            <a:gd name="connsiteX7" fmla="*/ 714375 w 1321594"/>
            <a:gd name="connsiteY7" fmla="*/ 952500 h 958850"/>
            <a:gd name="connsiteX8" fmla="*/ 1321594 w 1321594"/>
            <a:gd name="connsiteY8" fmla="*/ 876300 h 958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321594" h="958850">
              <a:moveTo>
                <a:pt x="0" y="0"/>
              </a:moveTo>
              <a:cubicBezTo>
                <a:pt x="7937" y="91281"/>
                <a:pt x="14287" y="199231"/>
                <a:pt x="23812" y="273843"/>
              </a:cubicBezTo>
              <a:cubicBezTo>
                <a:pt x="33337" y="348455"/>
                <a:pt x="51594" y="418703"/>
                <a:pt x="57150" y="447675"/>
              </a:cubicBezTo>
              <a:lnTo>
                <a:pt x="57150" y="447675"/>
              </a:lnTo>
              <a:cubicBezTo>
                <a:pt x="61912" y="461169"/>
                <a:pt x="61119" y="503238"/>
                <a:pt x="83344" y="552450"/>
              </a:cubicBezTo>
              <a:cubicBezTo>
                <a:pt x="105569" y="601662"/>
                <a:pt x="132953" y="682625"/>
                <a:pt x="190500" y="742950"/>
              </a:cubicBezTo>
              <a:cubicBezTo>
                <a:pt x="248047" y="803275"/>
                <a:pt x="341313" y="879475"/>
                <a:pt x="428625" y="914400"/>
              </a:cubicBezTo>
              <a:cubicBezTo>
                <a:pt x="515937" y="949325"/>
                <a:pt x="565547" y="958850"/>
                <a:pt x="714375" y="952500"/>
              </a:cubicBezTo>
              <a:cubicBezTo>
                <a:pt x="863203" y="946150"/>
                <a:pt x="1119188" y="911225"/>
                <a:pt x="1321594" y="876300"/>
              </a:cubicBezTo>
            </a:path>
          </a:pathLst>
        </a:custGeom>
        <a:ln w="31750">
          <a:tailEnd type="arrow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47625</xdr:colOff>
      <xdr:row>30</xdr:row>
      <xdr:rowOff>117476</xdr:rowOff>
    </xdr:from>
    <xdr:to>
      <xdr:col>17</xdr:col>
      <xdr:colOff>133350</xdr:colOff>
      <xdr:row>34</xdr:row>
      <xdr:rowOff>161926</xdr:rowOff>
    </xdr:to>
    <xdr:sp macro="" textlink="">
      <xdr:nvSpPr>
        <xdr:cNvPr id="23" name="Freeform 22"/>
        <xdr:cNvSpPr/>
      </xdr:nvSpPr>
      <xdr:spPr>
        <a:xfrm flipV="1">
          <a:off x="9191625" y="6880226"/>
          <a:ext cx="1304925" cy="806450"/>
        </a:xfrm>
        <a:custGeom>
          <a:avLst/>
          <a:gdLst>
            <a:gd name="connsiteX0" fmla="*/ 0 w 1257300"/>
            <a:gd name="connsiteY0" fmla="*/ 0 h 958850"/>
            <a:gd name="connsiteX1" fmla="*/ 57150 w 1257300"/>
            <a:gd name="connsiteY1" fmla="*/ 447675 h 958850"/>
            <a:gd name="connsiteX2" fmla="*/ 57150 w 1257300"/>
            <a:gd name="connsiteY2" fmla="*/ 447675 h 958850"/>
            <a:gd name="connsiteX3" fmla="*/ 190500 w 1257300"/>
            <a:gd name="connsiteY3" fmla="*/ 742950 h 958850"/>
            <a:gd name="connsiteX4" fmla="*/ 428625 w 1257300"/>
            <a:gd name="connsiteY4" fmla="*/ 914400 h 958850"/>
            <a:gd name="connsiteX5" fmla="*/ 714375 w 1257300"/>
            <a:gd name="connsiteY5" fmla="*/ 952500 h 958850"/>
            <a:gd name="connsiteX6" fmla="*/ 1257300 w 1257300"/>
            <a:gd name="connsiteY6" fmla="*/ 876300 h 958850"/>
            <a:gd name="connsiteX0" fmla="*/ 0 w 1323975"/>
            <a:gd name="connsiteY0" fmla="*/ 0 h 962025"/>
            <a:gd name="connsiteX1" fmla="*/ 57150 w 1323975"/>
            <a:gd name="connsiteY1" fmla="*/ 447675 h 962025"/>
            <a:gd name="connsiteX2" fmla="*/ 57150 w 1323975"/>
            <a:gd name="connsiteY2" fmla="*/ 447675 h 962025"/>
            <a:gd name="connsiteX3" fmla="*/ 190500 w 1323975"/>
            <a:gd name="connsiteY3" fmla="*/ 742950 h 962025"/>
            <a:gd name="connsiteX4" fmla="*/ 428625 w 1323975"/>
            <a:gd name="connsiteY4" fmla="*/ 914400 h 962025"/>
            <a:gd name="connsiteX5" fmla="*/ 714375 w 1323975"/>
            <a:gd name="connsiteY5" fmla="*/ 952500 h 962025"/>
            <a:gd name="connsiteX6" fmla="*/ 1323975 w 1323975"/>
            <a:gd name="connsiteY6" fmla="*/ 857250 h 962025"/>
            <a:gd name="connsiteX0" fmla="*/ 0 w 1323975"/>
            <a:gd name="connsiteY0" fmla="*/ 0 h 838200"/>
            <a:gd name="connsiteX1" fmla="*/ 57150 w 1323975"/>
            <a:gd name="connsiteY1" fmla="*/ 323850 h 838200"/>
            <a:gd name="connsiteX2" fmla="*/ 57150 w 1323975"/>
            <a:gd name="connsiteY2" fmla="*/ 323850 h 838200"/>
            <a:gd name="connsiteX3" fmla="*/ 190500 w 1323975"/>
            <a:gd name="connsiteY3" fmla="*/ 619125 h 838200"/>
            <a:gd name="connsiteX4" fmla="*/ 428625 w 1323975"/>
            <a:gd name="connsiteY4" fmla="*/ 790575 h 838200"/>
            <a:gd name="connsiteX5" fmla="*/ 714375 w 1323975"/>
            <a:gd name="connsiteY5" fmla="*/ 828675 h 838200"/>
            <a:gd name="connsiteX6" fmla="*/ 1323975 w 1323975"/>
            <a:gd name="connsiteY6" fmla="*/ 733425 h 838200"/>
            <a:gd name="connsiteX0" fmla="*/ 0 w 1323975"/>
            <a:gd name="connsiteY0" fmla="*/ 0 h 831850"/>
            <a:gd name="connsiteX1" fmla="*/ 57150 w 1323975"/>
            <a:gd name="connsiteY1" fmla="*/ 323850 h 831850"/>
            <a:gd name="connsiteX2" fmla="*/ 57150 w 1323975"/>
            <a:gd name="connsiteY2" fmla="*/ 323850 h 831850"/>
            <a:gd name="connsiteX3" fmla="*/ 190500 w 1323975"/>
            <a:gd name="connsiteY3" fmla="*/ 619125 h 831850"/>
            <a:gd name="connsiteX4" fmla="*/ 447675 w 1323975"/>
            <a:gd name="connsiteY4" fmla="*/ 752475 h 831850"/>
            <a:gd name="connsiteX5" fmla="*/ 714375 w 1323975"/>
            <a:gd name="connsiteY5" fmla="*/ 828675 h 831850"/>
            <a:gd name="connsiteX6" fmla="*/ 1323975 w 1323975"/>
            <a:gd name="connsiteY6" fmla="*/ 733425 h 831850"/>
            <a:gd name="connsiteX0" fmla="*/ 0 w 1323975"/>
            <a:gd name="connsiteY0" fmla="*/ 0 h 803275"/>
            <a:gd name="connsiteX1" fmla="*/ 57150 w 1323975"/>
            <a:gd name="connsiteY1" fmla="*/ 323850 h 803275"/>
            <a:gd name="connsiteX2" fmla="*/ 57150 w 1323975"/>
            <a:gd name="connsiteY2" fmla="*/ 323850 h 803275"/>
            <a:gd name="connsiteX3" fmla="*/ 190500 w 1323975"/>
            <a:gd name="connsiteY3" fmla="*/ 619125 h 803275"/>
            <a:gd name="connsiteX4" fmla="*/ 447675 w 1323975"/>
            <a:gd name="connsiteY4" fmla="*/ 752475 h 803275"/>
            <a:gd name="connsiteX5" fmla="*/ 742950 w 1323975"/>
            <a:gd name="connsiteY5" fmla="*/ 800100 h 803275"/>
            <a:gd name="connsiteX6" fmla="*/ 1323975 w 1323975"/>
            <a:gd name="connsiteY6" fmla="*/ 733425 h 803275"/>
            <a:gd name="connsiteX0" fmla="*/ 0 w 1333500"/>
            <a:gd name="connsiteY0" fmla="*/ 0 h 809625"/>
            <a:gd name="connsiteX1" fmla="*/ 57150 w 1333500"/>
            <a:gd name="connsiteY1" fmla="*/ 323850 h 809625"/>
            <a:gd name="connsiteX2" fmla="*/ 57150 w 1333500"/>
            <a:gd name="connsiteY2" fmla="*/ 323850 h 809625"/>
            <a:gd name="connsiteX3" fmla="*/ 190500 w 1333500"/>
            <a:gd name="connsiteY3" fmla="*/ 619125 h 809625"/>
            <a:gd name="connsiteX4" fmla="*/ 447675 w 1333500"/>
            <a:gd name="connsiteY4" fmla="*/ 752475 h 809625"/>
            <a:gd name="connsiteX5" fmla="*/ 742950 w 1333500"/>
            <a:gd name="connsiteY5" fmla="*/ 800100 h 809625"/>
            <a:gd name="connsiteX6" fmla="*/ 1333500 w 1333500"/>
            <a:gd name="connsiteY6" fmla="*/ 695325 h 809625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57150 w 1304925"/>
            <a:gd name="connsiteY2" fmla="*/ 323850 h 806450"/>
            <a:gd name="connsiteX3" fmla="*/ 190500 w 1304925"/>
            <a:gd name="connsiteY3" fmla="*/ 619125 h 806450"/>
            <a:gd name="connsiteX4" fmla="*/ 447675 w 1304925"/>
            <a:gd name="connsiteY4" fmla="*/ 752475 h 806450"/>
            <a:gd name="connsiteX5" fmla="*/ 742950 w 1304925"/>
            <a:gd name="connsiteY5" fmla="*/ 800100 h 806450"/>
            <a:gd name="connsiteX6" fmla="*/ 1304925 w 1304925"/>
            <a:gd name="connsiteY6" fmla="*/ 714375 h 806450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57150 w 1304925"/>
            <a:gd name="connsiteY2" fmla="*/ 361950 h 806450"/>
            <a:gd name="connsiteX3" fmla="*/ 190500 w 1304925"/>
            <a:gd name="connsiteY3" fmla="*/ 619125 h 806450"/>
            <a:gd name="connsiteX4" fmla="*/ 447675 w 1304925"/>
            <a:gd name="connsiteY4" fmla="*/ 752475 h 806450"/>
            <a:gd name="connsiteX5" fmla="*/ 742950 w 1304925"/>
            <a:gd name="connsiteY5" fmla="*/ 800100 h 806450"/>
            <a:gd name="connsiteX6" fmla="*/ 1304925 w 1304925"/>
            <a:gd name="connsiteY6" fmla="*/ 714375 h 806450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57150 w 1304925"/>
            <a:gd name="connsiteY2" fmla="*/ 361950 h 806450"/>
            <a:gd name="connsiteX3" fmla="*/ 190500 w 1304925"/>
            <a:gd name="connsiteY3" fmla="*/ 619125 h 806450"/>
            <a:gd name="connsiteX4" fmla="*/ 447675 w 1304925"/>
            <a:gd name="connsiteY4" fmla="*/ 752475 h 806450"/>
            <a:gd name="connsiteX5" fmla="*/ 742950 w 1304925"/>
            <a:gd name="connsiteY5" fmla="*/ 800100 h 806450"/>
            <a:gd name="connsiteX6" fmla="*/ 1304925 w 1304925"/>
            <a:gd name="connsiteY6" fmla="*/ 714375 h 806450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190500 w 1304925"/>
            <a:gd name="connsiteY2" fmla="*/ 619125 h 806450"/>
            <a:gd name="connsiteX3" fmla="*/ 447675 w 1304925"/>
            <a:gd name="connsiteY3" fmla="*/ 752475 h 806450"/>
            <a:gd name="connsiteX4" fmla="*/ 742950 w 1304925"/>
            <a:gd name="connsiteY4" fmla="*/ 800100 h 806450"/>
            <a:gd name="connsiteX5" fmla="*/ 1304925 w 1304925"/>
            <a:gd name="connsiteY5" fmla="*/ 714375 h 806450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190500 w 1304925"/>
            <a:gd name="connsiteY2" fmla="*/ 619125 h 806450"/>
            <a:gd name="connsiteX3" fmla="*/ 447675 w 1304925"/>
            <a:gd name="connsiteY3" fmla="*/ 752475 h 806450"/>
            <a:gd name="connsiteX4" fmla="*/ 742950 w 1304925"/>
            <a:gd name="connsiteY4" fmla="*/ 800100 h 806450"/>
            <a:gd name="connsiteX5" fmla="*/ 1304925 w 1304925"/>
            <a:gd name="connsiteY5" fmla="*/ 714375 h 806450"/>
            <a:gd name="connsiteX0" fmla="*/ 0 w 1304925"/>
            <a:gd name="connsiteY0" fmla="*/ 0 h 806450"/>
            <a:gd name="connsiteX1" fmla="*/ 57150 w 1304925"/>
            <a:gd name="connsiteY1" fmla="*/ 323850 h 806450"/>
            <a:gd name="connsiteX2" fmla="*/ 190500 w 1304925"/>
            <a:gd name="connsiteY2" fmla="*/ 619125 h 806450"/>
            <a:gd name="connsiteX3" fmla="*/ 447675 w 1304925"/>
            <a:gd name="connsiteY3" fmla="*/ 752475 h 806450"/>
            <a:gd name="connsiteX4" fmla="*/ 742950 w 1304925"/>
            <a:gd name="connsiteY4" fmla="*/ 800100 h 806450"/>
            <a:gd name="connsiteX5" fmla="*/ 1304925 w 1304925"/>
            <a:gd name="connsiteY5" fmla="*/ 714375 h 806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04925" h="806450">
              <a:moveTo>
                <a:pt x="0" y="0"/>
              </a:moveTo>
              <a:cubicBezTo>
                <a:pt x="9525" y="146050"/>
                <a:pt x="47625" y="263525"/>
                <a:pt x="57150" y="323850"/>
              </a:cubicBezTo>
              <a:cubicBezTo>
                <a:pt x="88900" y="427037"/>
                <a:pt x="125413" y="547688"/>
                <a:pt x="190500" y="619125"/>
              </a:cubicBezTo>
              <a:cubicBezTo>
                <a:pt x="255587" y="684212"/>
                <a:pt x="355600" y="722313"/>
                <a:pt x="447675" y="752475"/>
              </a:cubicBezTo>
              <a:cubicBezTo>
                <a:pt x="539750" y="782637"/>
                <a:pt x="600075" y="806450"/>
                <a:pt x="742950" y="800100"/>
              </a:cubicBezTo>
              <a:cubicBezTo>
                <a:pt x="885825" y="793750"/>
                <a:pt x="1102519" y="749300"/>
                <a:pt x="1304925" y="714375"/>
              </a:cubicBezTo>
            </a:path>
          </a:pathLst>
        </a:custGeom>
        <a:ln w="31750">
          <a:tailEnd type="arrow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285750</xdr:colOff>
      <xdr:row>24</xdr:row>
      <xdr:rowOff>28574</xdr:rowOff>
    </xdr:from>
    <xdr:to>
      <xdr:col>17</xdr:col>
      <xdr:colOff>142875</xdr:colOff>
      <xdr:row>27</xdr:row>
      <xdr:rowOff>159543</xdr:rowOff>
    </xdr:to>
    <xdr:sp macro="" textlink="">
      <xdr:nvSpPr>
        <xdr:cNvPr id="24" name="Freeform 23"/>
        <xdr:cNvSpPr/>
      </xdr:nvSpPr>
      <xdr:spPr>
        <a:xfrm>
          <a:off x="8820150" y="5648324"/>
          <a:ext cx="1685925" cy="702469"/>
        </a:xfrm>
        <a:custGeom>
          <a:avLst/>
          <a:gdLst>
            <a:gd name="connsiteX0" fmla="*/ 0 w 1257300"/>
            <a:gd name="connsiteY0" fmla="*/ 0 h 958850"/>
            <a:gd name="connsiteX1" fmla="*/ 57150 w 1257300"/>
            <a:gd name="connsiteY1" fmla="*/ 447675 h 958850"/>
            <a:gd name="connsiteX2" fmla="*/ 57150 w 1257300"/>
            <a:gd name="connsiteY2" fmla="*/ 447675 h 958850"/>
            <a:gd name="connsiteX3" fmla="*/ 190500 w 1257300"/>
            <a:gd name="connsiteY3" fmla="*/ 742950 h 958850"/>
            <a:gd name="connsiteX4" fmla="*/ 428625 w 1257300"/>
            <a:gd name="connsiteY4" fmla="*/ 914400 h 958850"/>
            <a:gd name="connsiteX5" fmla="*/ 714375 w 1257300"/>
            <a:gd name="connsiteY5" fmla="*/ 952500 h 958850"/>
            <a:gd name="connsiteX6" fmla="*/ 1257300 w 1257300"/>
            <a:gd name="connsiteY6" fmla="*/ 876300 h 958850"/>
            <a:gd name="connsiteX0" fmla="*/ 0 w 1323975"/>
            <a:gd name="connsiteY0" fmla="*/ 0 h 962025"/>
            <a:gd name="connsiteX1" fmla="*/ 57150 w 1323975"/>
            <a:gd name="connsiteY1" fmla="*/ 447675 h 962025"/>
            <a:gd name="connsiteX2" fmla="*/ 57150 w 1323975"/>
            <a:gd name="connsiteY2" fmla="*/ 447675 h 962025"/>
            <a:gd name="connsiteX3" fmla="*/ 190500 w 1323975"/>
            <a:gd name="connsiteY3" fmla="*/ 742950 h 962025"/>
            <a:gd name="connsiteX4" fmla="*/ 428625 w 1323975"/>
            <a:gd name="connsiteY4" fmla="*/ 914400 h 962025"/>
            <a:gd name="connsiteX5" fmla="*/ 714375 w 1323975"/>
            <a:gd name="connsiteY5" fmla="*/ 952500 h 962025"/>
            <a:gd name="connsiteX6" fmla="*/ 1323975 w 1323975"/>
            <a:gd name="connsiteY6" fmla="*/ 857250 h 962025"/>
            <a:gd name="connsiteX0" fmla="*/ 0 w 1447800"/>
            <a:gd name="connsiteY0" fmla="*/ 0 h 876300"/>
            <a:gd name="connsiteX1" fmla="*/ 180975 w 1447800"/>
            <a:gd name="connsiteY1" fmla="*/ 361950 h 876300"/>
            <a:gd name="connsiteX2" fmla="*/ 180975 w 1447800"/>
            <a:gd name="connsiteY2" fmla="*/ 361950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180975 w 1447800"/>
            <a:gd name="connsiteY1" fmla="*/ 361950 h 876300"/>
            <a:gd name="connsiteX2" fmla="*/ 485775 w 1447800"/>
            <a:gd name="connsiteY2" fmla="*/ 447675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238125 w 1447800"/>
            <a:gd name="connsiteY1" fmla="*/ 257175 h 876300"/>
            <a:gd name="connsiteX2" fmla="*/ 485775 w 1447800"/>
            <a:gd name="connsiteY2" fmla="*/ 447675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238125 w 1447800"/>
            <a:gd name="connsiteY1" fmla="*/ 257175 h 876300"/>
            <a:gd name="connsiteX2" fmla="*/ 485775 w 1447800"/>
            <a:gd name="connsiteY2" fmla="*/ 447675 h 876300"/>
            <a:gd name="connsiteX3" fmla="*/ 781050 w 1447800"/>
            <a:gd name="connsiteY3" fmla="*/ 63817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84237"/>
            <a:gd name="connsiteX1" fmla="*/ 238125 w 1447800"/>
            <a:gd name="connsiteY1" fmla="*/ 257175 h 884237"/>
            <a:gd name="connsiteX2" fmla="*/ 485775 w 1447800"/>
            <a:gd name="connsiteY2" fmla="*/ 447675 h 884237"/>
            <a:gd name="connsiteX3" fmla="*/ 781050 w 1447800"/>
            <a:gd name="connsiteY3" fmla="*/ 638175 h 884237"/>
            <a:gd name="connsiteX4" fmla="*/ 1152525 w 1447800"/>
            <a:gd name="connsiteY4" fmla="*/ 666750 h 884237"/>
            <a:gd name="connsiteX5" fmla="*/ 838200 w 1447800"/>
            <a:gd name="connsiteY5" fmla="*/ 866775 h 884237"/>
            <a:gd name="connsiteX6" fmla="*/ 1447800 w 1447800"/>
            <a:gd name="connsiteY6" fmla="*/ 771525 h 884237"/>
            <a:gd name="connsiteX0" fmla="*/ 0 w 1447800"/>
            <a:gd name="connsiteY0" fmla="*/ 0 h 884237"/>
            <a:gd name="connsiteX1" fmla="*/ 238125 w 1447800"/>
            <a:gd name="connsiteY1" fmla="*/ 257175 h 884237"/>
            <a:gd name="connsiteX2" fmla="*/ 485775 w 1447800"/>
            <a:gd name="connsiteY2" fmla="*/ 447675 h 884237"/>
            <a:gd name="connsiteX3" fmla="*/ 781050 w 1447800"/>
            <a:gd name="connsiteY3" fmla="*/ 609600 h 884237"/>
            <a:gd name="connsiteX4" fmla="*/ 1152525 w 1447800"/>
            <a:gd name="connsiteY4" fmla="*/ 666750 h 884237"/>
            <a:gd name="connsiteX5" fmla="*/ 838200 w 1447800"/>
            <a:gd name="connsiteY5" fmla="*/ 866775 h 884237"/>
            <a:gd name="connsiteX6" fmla="*/ 1447800 w 1447800"/>
            <a:gd name="connsiteY6" fmla="*/ 771525 h 884237"/>
            <a:gd name="connsiteX0" fmla="*/ 0 w 1628775"/>
            <a:gd name="connsiteY0" fmla="*/ 0 h 869950"/>
            <a:gd name="connsiteX1" fmla="*/ 238125 w 1628775"/>
            <a:gd name="connsiteY1" fmla="*/ 257175 h 869950"/>
            <a:gd name="connsiteX2" fmla="*/ 485775 w 1628775"/>
            <a:gd name="connsiteY2" fmla="*/ 447675 h 869950"/>
            <a:gd name="connsiteX3" fmla="*/ 781050 w 1628775"/>
            <a:gd name="connsiteY3" fmla="*/ 609600 h 869950"/>
            <a:gd name="connsiteX4" fmla="*/ 1152525 w 1628775"/>
            <a:gd name="connsiteY4" fmla="*/ 666750 h 869950"/>
            <a:gd name="connsiteX5" fmla="*/ 838200 w 1628775"/>
            <a:gd name="connsiteY5" fmla="*/ 866775 h 869950"/>
            <a:gd name="connsiteX6" fmla="*/ 1628775 w 1628775"/>
            <a:gd name="connsiteY6" fmla="*/ 685800 h 869950"/>
            <a:gd name="connsiteX0" fmla="*/ 0 w 1628775"/>
            <a:gd name="connsiteY0" fmla="*/ 0 h 720725"/>
            <a:gd name="connsiteX1" fmla="*/ 238125 w 1628775"/>
            <a:gd name="connsiteY1" fmla="*/ 257175 h 720725"/>
            <a:gd name="connsiteX2" fmla="*/ 485775 w 1628775"/>
            <a:gd name="connsiteY2" fmla="*/ 447675 h 720725"/>
            <a:gd name="connsiteX3" fmla="*/ 781050 w 1628775"/>
            <a:gd name="connsiteY3" fmla="*/ 609600 h 720725"/>
            <a:gd name="connsiteX4" fmla="*/ 1152525 w 1628775"/>
            <a:gd name="connsiteY4" fmla="*/ 666750 h 720725"/>
            <a:gd name="connsiteX5" fmla="*/ 1362075 w 1628775"/>
            <a:gd name="connsiteY5" fmla="*/ 685800 h 720725"/>
            <a:gd name="connsiteX6" fmla="*/ 1628775 w 1628775"/>
            <a:gd name="connsiteY6" fmla="*/ 685800 h 720725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85775 w 1657350"/>
            <a:gd name="connsiteY2" fmla="*/ 447675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3388 w 1657350"/>
            <a:gd name="connsiteY2" fmla="*/ 431007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0206"/>
            <a:gd name="connsiteY0" fmla="*/ 0 h 732631"/>
            <a:gd name="connsiteX1" fmla="*/ 238125 w 1650206"/>
            <a:gd name="connsiteY1" fmla="*/ 257175 h 732631"/>
            <a:gd name="connsiteX2" fmla="*/ 433388 w 1650206"/>
            <a:gd name="connsiteY2" fmla="*/ 431007 h 732631"/>
            <a:gd name="connsiteX3" fmla="*/ 781050 w 1650206"/>
            <a:gd name="connsiteY3" fmla="*/ 609600 h 732631"/>
            <a:gd name="connsiteX4" fmla="*/ 1152525 w 1650206"/>
            <a:gd name="connsiteY4" fmla="*/ 666750 h 732631"/>
            <a:gd name="connsiteX5" fmla="*/ 1362075 w 1650206"/>
            <a:gd name="connsiteY5" fmla="*/ 685800 h 732631"/>
            <a:gd name="connsiteX6" fmla="*/ 1650206 w 1650206"/>
            <a:gd name="connsiteY6" fmla="*/ 697706 h 732631"/>
            <a:gd name="connsiteX0" fmla="*/ 0 w 1650206"/>
            <a:gd name="connsiteY0" fmla="*/ 0 h 697706"/>
            <a:gd name="connsiteX1" fmla="*/ 238125 w 1650206"/>
            <a:gd name="connsiteY1" fmla="*/ 257175 h 697706"/>
            <a:gd name="connsiteX2" fmla="*/ 433388 w 1650206"/>
            <a:gd name="connsiteY2" fmla="*/ 431007 h 697706"/>
            <a:gd name="connsiteX3" fmla="*/ 781050 w 1650206"/>
            <a:gd name="connsiteY3" fmla="*/ 609600 h 697706"/>
            <a:gd name="connsiteX4" fmla="*/ 1152525 w 1650206"/>
            <a:gd name="connsiteY4" fmla="*/ 666750 h 697706"/>
            <a:gd name="connsiteX5" fmla="*/ 1362075 w 1650206"/>
            <a:gd name="connsiteY5" fmla="*/ 685800 h 697706"/>
            <a:gd name="connsiteX6" fmla="*/ 1650206 w 1650206"/>
            <a:gd name="connsiteY6" fmla="*/ 697706 h 697706"/>
            <a:gd name="connsiteX0" fmla="*/ 0 w 1693068"/>
            <a:gd name="connsiteY0" fmla="*/ 0 h 695325"/>
            <a:gd name="connsiteX1" fmla="*/ 238125 w 1693068"/>
            <a:gd name="connsiteY1" fmla="*/ 257175 h 695325"/>
            <a:gd name="connsiteX2" fmla="*/ 433388 w 1693068"/>
            <a:gd name="connsiteY2" fmla="*/ 431007 h 695325"/>
            <a:gd name="connsiteX3" fmla="*/ 781050 w 1693068"/>
            <a:gd name="connsiteY3" fmla="*/ 609600 h 695325"/>
            <a:gd name="connsiteX4" fmla="*/ 1152525 w 1693068"/>
            <a:gd name="connsiteY4" fmla="*/ 666750 h 695325"/>
            <a:gd name="connsiteX5" fmla="*/ 1362075 w 1693068"/>
            <a:gd name="connsiteY5" fmla="*/ 685800 h 695325"/>
            <a:gd name="connsiteX6" fmla="*/ 1693068 w 1693068"/>
            <a:gd name="connsiteY6" fmla="*/ 695325 h 695325"/>
            <a:gd name="connsiteX0" fmla="*/ 0 w 1685925"/>
            <a:gd name="connsiteY0" fmla="*/ 0 h 702469"/>
            <a:gd name="connsiteX1" fmla="*/ 238125 w 1685925"/>
            <a:gd name="connsiteY1" fmla="*/ 257175 h 702469"/>
            <a:gd name="connsiteX2" fmla="*/ 433388 w 1685925"/>
            <a:gd name="connsiteY2" fmla="*/ 431007 h 702469"/>
            <a:gd name="connsiteX3" fmla="*/ 781050 w 1685925"/>
            <a:gd name="connsiteY3" fmla="*/ 609600 h 702469"/>
            <a:gd name="connsiteX4" fmla="*/ 1152525 w 1685925"/>
            <a:gd name="connsiteY4" fmla="*/ 666750 h 702469"/>
            <a:gd name="connsiteX5" fmla="*/ 1362075 w 1685925"/>
            <a:gd name="connsiteY5" fmla="*/ 685800 h 702469"/>
            <a:gd name="connsiteX6" fmla="*/ 1685925 w 1685925"/>
            <a:gd name="connsiteY6" fmla="*/ 702469 h 7024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685925" h="702469">
              <a:moveTo>
                <a:pt x="0" y="0"/>
              </a:moveTo>
              <a:lnTo>
                <a:pt x="238125" y="257175"/>
              </a:lnTo>
              <a:lnTo>
                <a:pt x="433388" y="431007"/>
              </a:lnTo>
              <a:cubicBezTo>
                <a:pt x="481807" y="475456"/>
                <a:pt x="661194" y="570310"/>
                <a:pt x="781050" y="609600"/>
              </a:cubicBezTo>
              <a:cubicBezTo>
                <a:pt x="900906" y="648890"/>
                <a:pt x="1055688" y="654050"/>
                <a:pt x="1152525" y="666750"/>
              </a:cubicBezTo>
              <a:cubicBezTo>
                <a:pt x="1249363" y="679450"/>
                <a:pt x="1273175" y="679847"/>
                <a:pt x="1362075" y="685800"/>
              </a:cubicBezTo>
              <a:cubicBezTo>
                <a:pt x="1450975" y="691753"/>
                <a:pt x="1483519" y="694531"/>
                <a:pt x="1685925" y="702469"/>
              </a:cubicBezTo>
            </a:path>
          </a:pathLst>
        </a:custGeom>
        <a:ln w="31750">
          <a:tailEnd type="arrow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326230</xdr:colOff>
      <xdr:row>29</xdr:row>
      <xdr:rowOff>112712</xdr:rowOff>
    </xdr:from>
    <xdr:to>
      <xdr:col>17</xdr:col>
      <xdr:colOff>147637</xdr:colOff>
      <xdr:row>33</xdr:row>
      <xdr:rowOff>9525</xdr:rowOff>
    </xdr:to>
    <xdr:sp macro="" textlink="">
      <xdr:nvSpPr>
        <xdr:cNvPr id="25" name="Freeform 24"/>
        <xdr:cNvSpPr/>
      </xdr:nvSpPr>
      <xdr:spPr>
        <a:xfrm flipV="1">
          <a:off x="8860630" y="6684962"/>
          <a:ext cx="1650207" cy="658813"/>
        </a:xfrm>
        <a:custGeom>
          <a:avLst/>
          <a:gdLst>
            <a:gd name="connsiteX0" fmla="*/ 0 w 1257300"/>
            <a:gd name="connsiteY0" fmla="*/ 0 h 958850"/>
            <a:gd name="connsiteX1" fmla="*/ 57150 w 1257300"/>
            <a:gd name="connsiteY1" fmla="*/ 447675 h 958850"/>
            <a:gd name="connsiteX2" fmla="*/ 57150 w 1257300"/>
            <a:gd name="connsiteY2" fmla="*/ 447675 h 958850"/>
            <a:gd name="connsiteX3" fmla="*/ 190500 w 1257300"/>
            <a:gd name="connsiteY3" fmla="*/ 742950 h 958850"/>
            <a:gd name="connsiteX4" fmla="*/ 428625 w 1257300"/>
            <a:gd name="connsiteY4" fmla="*/ 914400 h 958850"/>
            <a:gd name="connsiteX5" fmla="*/ 714375 w 1257300"/>
            <a:gd name="connsiteY5" fmla="*/ 952500 h 958850"/>
            <a:gd name="connsiteX6" fmla="*/ 1257300 w 1257300"/>
            <a:gd name="connsiteY6" fmla="*/ 876300 h 958850"/>
            <a:gd name="connsiteX0" fmla="*/ 0 w 1323975"/>
            <a:gd name="connsiteY0" fmla="*/ 0 h 962025"/>
            <a:gd name="connsiteX1" fmla="*/ 57150 w 1323975"/>
            <a:gd name="connsiteY1" fmla="*/ 447675 h 962025"/>
            <a:gd name="connsiteX2" fmla="*/ 57150 w 1323975"/>
            <a:gd name="connsiteY2" fmla="*/ 447675 h 962025"/>
            <a:gd name="connsiteX3" fmla="*/ 190500 w 1323975"/>
            <a:gd name="connsiteY3" fmla="*/ 742950 h 962025"/>
            <a:gd name="connsiteX4" fmla="*/ 428625 w 1323975"/>
            <a:gd name="connsiteY4" fmla="*/ 914400 h 962025"/>
            <a:gd name="connsiteX5" fmla="*/ 714375 w 1323975"/>
            <a:gd name="connsiteY5" fmla="*/ 952500 h 962025"/>
            <a:gd name="connsiteX6" fmla="*/ 1323975 w 1323975"/>
            <a:gd name="connsiteY6" fmla="*/ 857250 h 962025"/>
            <a:gd name="connsiteX0" fmla="*/ 0 w 1447800"/>
            <a:gd name="connsiteY0" fmla="*/ 0 h 876300"/>
            <a:gd name="connsiteX1" fmla="*/ 180975 w 1447800"/>
            <a:gd name="connsiteY1" fmla="*/ 361950 h 876300"/>
            <a:gd name="connsiteX2" fmla="*/ 180975 w 1447800"/>
            <a:gd name="connsiteY2" fmla="*/ 361950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180975 w 1447800"/>
            <a:gd name="connsiteY1" fmla="*/ 361950 h 876300"/>
            <a:gd name="connsiteX2" fmla="*/ 485775 w 1447800"/>
            <a:gd name="connsiteY2" fmla="*/ 447675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238125 w 1447800"/>
            <a:gd name="connsiteY1" fmla="*/ 257175 h 876300"/>
            <a:gd name="connsiteX2" fmla="*/ 485775 w 1447800"/>
            <a:gd name="connsiteY2" fmla="*/ 447675 h 876300"/>
            <a:gd name="connsiteX3" fmla="*/ 314325 w 1447800"/>
            <a:gd name="connsiteY3" fmla="*/ 65722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76300"/>
            <a:gd name="connsiteX1" fmla="*/ 238125 w 1447800"/>
            <a:gd name="connsiteY1" fmla="*/ 257175 h 876300"/>
            <a:gd name="connsiteX2" fmla="*/ 485775 w 1447800"/>
            <a:gd name="connsiteY2" fmla="*/ 447675 h 876300"/>
            <a:gd name="connsiteX3" fmla="*/ 781050 w 1447800"/>
            <a:gd name="connsiteY3" fmla="*/ 638175 h 876300"/>
            <a:gd name="connsiteX4" fmla="*/ 552450 w 1447800"/>
            <a:gd name="connsiteY4" fmla="*/ 828675 h 876300"/>
            <a:gd name="connsiteX5" fmla="*/ 838200 w 1447800"/>
            <a:gd name="connsiteY5" fmla="*/ 866775 h 876300"/>
            <a:gd name="connsiteX6" fmla="*/ 1447800 w 1447800"/>
            <a:gd name="connsiteY6" fmla="*/ 771525 h 876300"/>
            <a:gd name="connsiteX0" fmla="*/ 0 w 1447800"/>
            <a:gd name="connsiteY0" fmla="*/ 0 h 884237"/>
            <a:gd name="connsiteX1" fmla="*/ 238125 w 1447800"/>
            <a:gd name="connsiteY1" fmla="*/ 257175 h 884237"/>
            <a:gd name="connsiteX2" fmla="*/ 485775 w 1447800"/>
            <a:gd name="connsiteY2" fmla="*/ 447675 h 884237"/>
            <a:gd name="connsiteX3" fmla="*/ 781050 w 1447800"/>
            <a:gd name="connsiteY3" fmla="*/ 638175 h 884237"/>
            <a:gd name="connsiteX4" fmla="*/ 1152525 w 1447800"/>
            <a:gd name="connsiteY4" fmla="*/ 666750 h 884237"/>
            <a:gd name="connsiteX5" fmla="*/ 838200 w 1447800"/>
            <a:gd name="connsiteY5" fmla="*/ 866775 h 884237"/>
            <a:gd name="connsiteX6" fmla="*/ 1447800 w 1447800"/>
            <a:gd name="connsiteY6" fmla="*/ 771525 h 884237"/>
            <a:gd name="connsiteX0" fmla="*/ 0 w 1447800"/>
            <a:gd name="connsiteY0" fmla="*/ 0 h 884237"/>
            <a:gd name="connsiteX1" fmla="*/ 238125 w 1447800"/>
            <a:gd name="connsiteY1" fmla="*/ 257175 h 884237"/>
            <a:gd name="connsiteX2" fmla="*/ 485775 w 1447800"/>
            <a:gd name="connsiteY2" fmla="*/ 447675 h 884237"/>
            <a:gd name="connsiteX3" fmla="*/ 781050 w 1447800"/>
            <a:gd name="connsiteY3" fmla="*/ 609600 h 884237"/>
            <a:gd name="connsiteX4" fmla="*/ 1152525 w 1447800"/>
            <a:gd name="connsiteY4" fmla="*/ 666750 h 884237"/>
            <a:gd name="connsiteX5" fmla="*/ 838200 w 1447800"/>
            <a:gd name="connsiteY5" fmla="*/ 866775 h 884237"/>
            <a:gd name="connsiteX6" fmla="*/ 1447800 w 1447800"/>
            <a:gd name="connsiteY6" fmla="*/ 771525 h 884237"/>
            <a:gd name="connsiteX0" fmla="*/ 0 w 1628775"/>
            <a:gd name="connsiteY0" fmla="*/ 0 h 869950"/>
            <a:gd name="connsiteX1" fmla="*/ 238125 w 1628775"/>
            <a:gd name="connsiteY1" fmla="*/ 257175 h 869950"/>
            <a:gd name="connsiteX2" fmla="*/ 485775 w 1628775"/>
            <a:gd name="connsiteY2" fmla="*/ 447675 h 869950"/>
            <a:gd name="connsiteX3" fmla="*/ 781050 w 1628775"/>
            <a:gd name="connsiteY3" fmla="*/ 609600 h 869950"/>
            <a:gd name="connsiteX4" fmla="*/ 1152525 w 1628775"/>
            <a:gd name="connsiteY4" fmla="*/ 666750 h 869950"/>
            <a:gd name="connsiteX5" fmla="*/ 838200 w 1628775"/>
            <a:gd name="connsiteY5" fmla="*/ 866775 h 869950"/>
            <a:gd name="connsiteX6" fmla="*/ 1628775 w 1628775"/>
            <a:gd name="connsiteY6" fmla="*/ 685800 h 869950"/>
            <a:gd name="connsiteX0" fmla="*/ 0 w 1628775"/>
            <a:gd name="connsiteY0" fmla="*/ 0 h 720725"/>
            <a:gd name="connsiteX1" fmla="*/ 238125 w 1628775"/>
            <a:gd name="connsiteY1" fmla="*/ 257175 h 720725"/>
            <a:gd name="connsiteX2" fmla="*/ 485775 w 1628775"/>
            <a:gd name="connsiteY2" fmla="*/ 447675 h 720725"/>
            <a:gd name="connsiteX3" fmla="*/ 781050 w 1628775"/>
            <a:gd name="connsiteY3" fmla="*/ 609600 h 720725"/>
            <a:gd name="connsiteX4" fmla="*/ 1152525 w 1628775"/>
            <a:gd name="connsiteY4" fmla="*/ 666750 h 720725"/>
            <a:gd name="connsiteX5" fmla="*/ 1362075 w 1628775"/>
            <a:gd name="connsiteY5" fmla="*/ 685800 h 720725"/>
            <a:gd name="connsiteX6" fmla="*/ 1628775 w 1628775"/>
            <a:gd name="connsiteY6" fmla="*/ 685800 h 720725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85775 w 1657350"/>
            <a:gd name="connsiteY2" fmla="*/ 447675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5769 w 1657350"/>
            <a:gd name="connsiteY2" fmla="*/ 423863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7350"/>
            <a:gd name="connsiteY0" fmla="*/ 0 h 711200"/>
            <a:gd name="connsiteX1" fmla="*/ 238125 w 1657350"/>
            <a:gd name="connsiteY1" fmla="*/ 257175 h 711200"/>
            <a:gd name="connsiteX2" fmla="*/ 433388 w 1657350"/>
            <a:gd name="connsiteY2" fmla="*/ 431007 h 711200"/>
            <a:gd name="connsiteX3" fmla="*/ 781050 w 1657350"/>
            <a:gd name="connsiteY3" fmla="*/ 609600 h 711200"/>
            <a:gd name="connsiteX4" fmla="*/ 1152525 w 1657350"/>
            <a:gd name="connsiteY4" fmla="*/ 666750 h 711200"/>
            <a:gd name="connsiteX5" fmla="*/ 1362075 w 1657350"/>
            <a:gd name="connsiteY5" fmla="*/ 685800 h 711200"/>
            <a:gd name="connsiteX6" fmla="*/ 1657350 w 1657350"/>
            <a:gd name="connsiteY6" fmla="*/ 676275 h 711200"/>
            <a:gd name="connsiteX0" fmla="*/ 0 w 1650206"/>
            <a:gd name="connsiteY0" fmla="*/ 0 h 732631"/>
            <a:gd name="connsiteX1" fmla="*/ 238125 w 1650206"/>
            <a:gd name="connsiteY1" fmla="*/ 257175 h 732631"/>
            <a:gd name="connsiteX2" fmla="*/ 433388 w 1650206"/>
            <a:gd name="connsiteY2" fmla="*/ 431007 h 732631"/>
            <a:gd name="connsiteX3" fmla="*/ 781050 w 1650206"/>
            <a:gd name="connsiteY3" fmla="*/ 609600 h 732631"/>
            <a:gd name="connsiteX4" fmla="*/ 1152525 w 1650206"/>
            <a:gd name="connsiteY4" fmla="*/ 666750 h 732631"/>
            <a:gd name="connsiteX5" fmla="*/ 1362075 w 1650206"/>
            <a:gd name="connsiteY5" fmla="*/ 685800 h 732631"/>
            <a:gd name="connsiteX6" fmla="*/ 1650206 w 1650206"/>
            <a:gd name="connsiteY6" fmla="*/ 697706 h 732631"/>
            <a:gd name="connsiteX0" fmla="*/ 0 w 1650206"/>
            <a:gd name="connsiteY0" fmla="*/ 0 h 697706"/>
            <a:gd name="connsiteX1" fmla="*/ 238125 w 1650206"/>
            <a:gd name="connsiteY1" fmla="*/ 257175 h 697706"/>
            <a:gd name="connsiteX2" fmla="*/ 433388 w 1650206"/>
            <a:gd name="connsiteY2" fmla="*/ 431007 h 697706"/>
            <a:gd name="connsiteX3" fmla="*/ 781050 w 1650206"/>
            <a:gd name="connsiteY3" fmla="*/ 609600 h 697706"/>
            <a:gd name="connsiteX4" fmla="*/ 1152525 w 1650206"/>
            <a:gd name="connsiteY4" fmla="*/ 666750 h 697706"/>
            <a:gd name="connsiteX5" fmla="*/ 1362075 w 1650206"/>
            <a:gd name="connsiteY5" fmla="*/ 685800 h 697706"/>
            <a:gd name="connsiteX6" fmla="*/ 1650206 w 1650206"/>
            <a:gd name="connsiteY6" fmla="*/ 697706 h 697706"/>
            <a:gd name="connsiteX0" fmla="*/ 0 w 1693068"/>
            <a:gd name="connsiteY0" fmla="*/ 0 h 695325"/>
            <a:gd name="connsiteX1" fmla="*/ 238125 w 1693068"/>
            <a:gd name="connsiteY1" fmla="*/ 257175 h 695325"/>
            <a:gd name="connsiteX2" fmla="*/ 433388 w 1693068"/>
            <a:gd name="connsiteY2" fmla="*/ 431007 h 695325"/>
            <a:gd name="connsiteX3" fmla="*/ 781050 w 1693068"/>
            <a:gd name="connsiteY3" fmla="*/ 609600 h 695325"/>
            <a:gd name="connsiteX4" fmla="*/ 1152525 w 1693068"/>
            <a:gd name="connsiteY4" fmla="*/ 666750 h 695325"/>
            <a:gd name="connsiteX5" fmla="*/ 1362075 w 1693068"/>
            <a:gd name="connsiteY5" fmla="*/ 685800 h 695325"/>
            <a:gd name="connsiteX6" fmla="*/ 1693068 w 1693068"/>
            <a:gd name="connsiteY6" fmla="*/ 695325 h 695325"/>
            <a:gd name="connsiteX0" fmla="*/ 0 w 1685925"/>
            <a:gd name="connsiteY0" fmla="*/ 0 h 702469"/>
            <a:gd name="connsiteX1" fmla="*/ 238125 w 1685925"/>
            <a:gd name="connsiteY1" fmla="*/ 257175 h 702469"/>
            <a:gd name="connsiteX2" fmla="*/ 433388 w 1685925"/>
            <a:gd name="connsiteY2" fmla="*/ 431007 h 702469"/>
            <a:gd name="connsiteX3" fmla="*/ 781050 w 1685925"/>
            <a:gd name="connsiteY3" fmla="*/ 609600 h 702469"/>
            <a:gd name="connsiteX4" fmla="*/ 1152525 w 1685925"/>
            <a:gd name="connsiteY4" fmla="*/ 666750 h 702469"/>
            <a:gd name="connsiteX5" fmla="*/ 1362075 w 1685925"/>
            <a:gd name="connsiteY5" fmla="*/ 685800 h 702469"/>
            <a:gd name="connsiteX6" fmla="*/ 1685925 w 1685925"/>
            <a:gd name="connsiteY6" fmla="*/ 702469 h 702469"/>
            <a:gd name="connsiteX0" fmla="*/ 0 w 1681163"/>
            <a:gd name="connsiteY0" fmla="*/ 0 h 690959"/>
            <a:gd name="connsiteX1" fmla="*/ 238125 w 1681163"/>
            <a:gd name="connsiteY1" fmla="*/ 257175 h 690959"/>
            <a:gd name="connsiteX2" fmla="*/ 433388 w 1681163"/>
            <a:gd name="connsiteY2" fmla="*/ 431007 h 690959"/>
            <a:gd name="connsiteX3" fmla="*/ 781050 w 1681163"/>
            <a:gd name="connsiteY3" fmla="*/ 609600 h 690959"/>
            <a:gd name="connsiteX4" fmla="*/ 1152525 w 1681163"/>
            <a:gd name="connsiteY4" fmla="*/ 666750 h 690959"/>
            <a:gd name="connsiteX5" fmla="*/ 1362075 w 1681163"/>
            <a:gd name="connsiteY5" fmla="*/ 685800 h 690959"/>
            <a:gd name="connsiteX6" fmla="*/ 1681163 w 1681163"/>
            <a:gd name="connsiteY6" fmla="*/ 635794 h 690959"/>
            <a:gd name="connsiteX0" fmla="*/ 0 w 1681163"/>
            <a:gd name="connsiteY0" fmla="*/ 0 h 671513"/>
            <a:gd name="connsiteX1" fmla="*/ 238125 w 1681163"/>
            <a:gd name="connsiteY1" fmla="*/ 257175 h 671513"/>
            <a:gd name="connsiteX2" fmla="*/ 433388 w 1681163"/>
            <a:gd name="connsiteY2" fmla="*/ 431007 h 671513"/>
            <a:gd name="connsiteX3" fmla="*/ 781050 w 1681163"/>
            <a:gd name="connsiteY3" fmla="*/ 609600 h 671513"/>
            <a:gd name="connsiteX4" fmla="*/ 1152525 w 1681163"/>
            <a:gd name="connsiteY4" fmla="*/ 666750 h 671513"/>
            <a:gd name="connsiteX5" fmla="*/ 1373981 w 1681163"/>
            <a:gd name="connsiteY5" fmla="*/ 638175 h 671513"/>
            <a:gd name="connsiteX6" fmla="*/ 1681163 w 1681163"/>
            <a:gd name="connsiteY6" fmla="*/ 635794 h 671513"/>
            <a:gd name="connsiteX0" fmla="*/ 0 w 1681163"/>
            <a:gd name="connsiteY0" fmla="*/ 0 h 657226"/>
            <a:gd name="connsiteX1" fmla="*/ 238125 w 1681163"/>
            <a:gd name="connsiteY1" fmla="*/ 257175 h 657226"/>
            <a:gd name="connsiteX2" fmla="*/ 433388 w 1681163"/>
            <a:gd name="connsiteY2" fmla="*/ 431007 h 657226"/>
            <a:gd name="connsiteX3" fmla="*/ 781050 w 1681163"/>
            <a:gd name="connsiteY3" fmla="*/ 609600 h 657226"/>
            <a:gd name="connsiteX4" fmla="*/ 1143000 w 1681163"/>
            <a:gd name="connsiteY4" fmla="*/ 652463 h 657226"/>
            <a:gd name="connsiteX5" fmla="*/ 1373981 w 1681163"/>
            <a:gd name="connsiteY5" fmla="*/ 638175 h 657226"/>
            <a:gd name="connsiteX6" fmla="*/ 1681163 w 1681163"/>
            <a:gd name="connsiteY6" fmla="*/ 635794 h 657226"/>
            <a:gd name="connsiteX0" fmla="*/ 0 w 1678782"/>
            <a:gd name="connsiteY0" fmla="*/ 0 h 657226"/>
            <a:gd name="connsiteX1" fmla="*/ 238125 w 1678782"/>
            <a:gd name="connsiteY1" fmla="*/ 257175 h 657226"/>
            <a:gd name="connsiteX2" fmla="*/ 433388 w 1678782"/>
            <a:gd name="connsiteY2" fmla="*/ 431007 h 657226"/>
            <a:gd name="connsiteX3" fmla="*/ 781050 w 1678782"/>
            <a:gd name="connsiteY3" fmla="*/ 609600 h 657226"/>
            <a:gd name="connsiteX4" fmla="*/ 1143000 w 1678782"/>
            <a:gd name="connsiteY4" fmla="*/ 652463 h 657226"/>
            <a:gd name="connsiteX5" fmla="*/ 1373981 w 1678782"/>
            <a:gd name="connsiteY5" fmla="*/ 638175 h 657226"/>
            <a:gd name="connsiteX6" fmla="*/ 1678782 w 1678782"/>
            <a:gd name="connsiteY6" fmla="*/ 602457 h 657226"/>
            <a:gd name="connsiteX0" fmla="*/ 0 w 1678782"/>
            <a:gd name="connsiteY0" fmla="*/ 0 h 657226"/>
            <a:gd name="connsiteX1" fmla="*/ 238125 w 1678782"/>
            <a:gd name="connsiteY1" fmla="*/ 257175 h 657226"/>
            <a:gd name="connsiteX2" fmla="*/ 433388 w 1678782"/>
            <a:gd name="connsiteY2" fmla="*/ 431007 h 657226"/>
            <a:gd name="connsiteX3" fmla="*/ 781050 w 1678782"/>
            <a:gd name="connsiteY3" fmla="*/ 609600 h 657226"/>
            <a:gd name="connsiteX4" fmla="*/ 1143000 w 1678782"/>
            <a:gd name="connsiteY4" fmla="*/ 652463 h 657226"/>
            <a:gd name="connsiteX5" fmla="*/ 1373981 w 1678782"/>
            <a:gd name="connsiteY5" fmla="*/ 638175 h 657226"/>
            <a:gd name="connsiteX6" fmla="*/ 1678782 w 1678782"/>
            <a:gd name="connsiteY6" fmla="*/ 602457 h 657226"/>
            <a:gd name="connsiteX0" fmla="*/ 0 w 1650207"/>
            <a:gd name="connsiteY0" fmla="*/ 0 h 657226"/>
            <a:gd name="connsiteX1" fmla="*/ 238125 w 1650207"/>
            <a:gd name="connsiteY1" fmla="*/ 257175 h 657226"/>
            <a:gd name="connsiteX2" fmla="*/ 433388 w 1650207"/>
            <a:gd name="connsiteY2" fmla="*/ 431007 h 657226"/>
            <a:gd name="connsiteX3" fmla="*/ 781050 w 1650207"/>
            <a:gd name="connsiteY3" fmla="*/ 609600 h 657226"/>
            <a:gd name="connsiteX4" fmla="*/ 1143000 w 1650207"/>
            <a:gd name="connsiteY4" fmla="*/ 652463 h 657226"/>
            <a:gd name="connsiteX5" fmla="*/ 1373981 w 1650207"/>
            <a:gd name="connsiteY5" fmla="*/ 638175 h 657226"/>
            <a:gd name="connsiteX6" fmla="*/ 1650207 w 1650207"/>
            <a:gd name="connsiteY6" fmla="*/ 600075 h 657226"/>
            <a:gd name="connsiteX0" fmla="*/ 0 w 1650207"/>
            <a:gd name="connsiteY0" fmla="*/ 0 h 658813"/>
            <a:gd name="connsiteX1" fmla="*/ 238125 w 1650207"/>
            <a:gd name="connsiteY1" fmla="*/ 257175 h 658813"/>
            <a:gd name="connsiteX2" fmla="*/ 433388 w 1650207"/>
            <a:gd name="connsiteY2" fmla="*/ 431007 h 658813"/>
            <a:gd name="connsiteX3" fmla="*/ 785813 w 1650207"/>
            <a:gd name="connsiteY3" fmla="*/ 600075 h 658813"/>
            <a:gd name="connsiteX4" fmla="*/ 1143000 w 1650207"/>
            <a:gd name="connsiteY4" fmla="*/ 652463 h 658813"/>
            <a:gd name="connsiteX5" fmla="*/ 1373981 w 1650207"/>
            <a:gd name="connsiteY5" fmla="*/ 638175 h 658813"/>
            <a:gd name="connsiteX6" fmla="*/ 1650207 w 1650207"/>
            <a:gd name="connsiteY6" fmla="*/ 600075 h 658813"/>
            <a:gd name="connsiteX0" fmla="*/ 0 w 1650207"/>
            <a:gd name="connsiteY0" fmla="*/ 0 h 658813"/>
            <a:gd name="connsiteX1" fmla="*/ 238125 w 1650207"/>
            <a:gd name="connsiteY1" fmla="*/ 257175 h 658813"/>
            <a:gd name="connsiteX2" fmla="*/ 433388 w 1650207"/>
            <a:gd name="connsiteY2" fmla="*/ 431007 h 658813"/>
            <a:gd name="connsiteX3" fmla="*/ 785813 w 1650207"/>
            <a:gd name="connsiteY3" fmla="*/ 600075 h 658813"/>
            <a:gd name="connsiteX4" fmla="*/ 1143000 w 1650207"/>
            <a:gd name="connsiteY4" fmla="*/ 652463 h 658813"/>
            <a:gd name="connsiteX5" fmla="*/ 1373981 w 1650207"/>
            <a:gd name="connsiteY5" fmla="*/ 638175 h 658813"/>
            <a:gd name="connsiteX6" fmla="*/ 1650207 w 1650207"/>
            <a:gd name="connsiteY6" fmla="*/ 600075 h 658813"/>
            <a:gd name="connsiteX0" fmla="*/ 0 w 1650207"/>
            <a:gd name="connsiteY0" fmla="*/ 0 h 658813"/>
            <a:gd name="connsiteX1" fmla="*/ 238125 w 1650207"/>
            <a:gd name="connsiteY1" fmla="*/ 257175 h 658813"/>
            <a:gd name="connsiteX2" fmla="*/ 433388 w 1650207"/>
            <a:gd name="connsiteY2" fmla="*/ 431007 h 658813"/>
            <a:gd name="connsiteX3" fmla="*/ 785813 w 1650207"/>
            <a:gd name="connsiteY3" fmla="*/ 600075 h 658813"/>
            <a:gd name="connsiteX4" fmla="*/ 1143000 w 1650207"/>
            <a:gd name="connsiteY4" fmla="*/ 652463 h 658813"/>
            <a:gd name="connsiteX5" fmla="*/ 1373981 w 1650207"/>
            <a:gd name="connsiteY5" fmla="*/ 638175 h 658813"/>
            <a:gd name="connsiteX6" fmla="*/ 1650207 w 1650207"/>
            <a:gd name="connsiteY6" fmla="*/ 600075 h 658813"/>
            <a:gd name="connsiteX0" fmla="*/ 0 w 1650207"/>
            <a:gd name="connsiteY0" fmla="*/ 0 h 658813"/>
            <a:gd name="connsiteX1" fmla="*/ 238125 w 1650207"/>
            <a:gd name="connsiteY1" fmla="*/ 257175 h 658813"/>
            <a:gd name="connsiteX2" fmla="*/ 433388 w 1650207"/>
            <a:gd name="connsiteY2" fmla="*/ 431007 h 658813"/>
            <a:gd name="connsiteX3" fmla="*/ 785813 w 1650207"/>
            <a:gd name="connsiteY3" fmla="*/ 600075 h 658813"/>
            <a:gd name="connsiteX4" fmla="*/ 1143000 w 1650207"/>
            <a:gd name="connsiteY4" fmla="*/ 652463 h 658813"/>
            <a:gd name="connsiteX5" fmla="*/ 1373981 w 1650207"/>
            <a:gd name="connsiteY5" fmla="*/ 638175 h 658813"/>
            <a:gd name="connsiteX6" fmla="*/ 1650207 w 1650207"/>
            <a:gd name="connsiteY6" fmla="*/ 600075 h 658813"/>
            <a:gd name="connsiteX0" fmla="*/ 0 w 1650207"/>
            <a:gd name="connsiteY0" fmla="*/ 0 h 658813"/>
            <a:gd name="connsiteX1" fmla="*/ 7145 w 1650207"/>
            <a:gd name="connsiteY1" fmla="*/ 0 h 658813"/>
            <a:gd name="connsiteX2" fmla="*/ 238125 w 1650207"/>
            <a:gd name="connsiteY2" fmla="*/ 257175 h 658813"/>
            <a:gd name="connsiteX3" fmla="*/ 433388 w 1650207"/>
            <a:gd name="connsiteY3" fmla="*/ 431007 h 658813"/>
            <a:gd name="connsiteX4" fmla="*/ 785813 w 1650207"/>
            <a:gd name="connsiteY4" fmla="*/ 600075 h 658813"/>
            <a:gd name="connsiteX5" fmla="*/ 1143000 w 1650207"/>
            <a:gd name="connsiteY5" fmla="*/ 652463 h 658813"/>
            <a:gd name="connsiteX6" fmla="*/ 1373981 w 1650207"/>
            <a:gd name="connsiteY6" fmla="*/ 638175 h 658813"/>
            <a:gd name="connsiteX7" fmla="*/ 1650207 w 1650207"/>
            <a:gd name="connsiteY7" fmla="*/ 600075 h 658813"/>
            <a:gd name="connsiteX0" fmla="*/ 0 w 1650207"/>
            <a:gd name="connsiteY0" fmla="*/ 0 h 658813"/>
            <a:gd name="connsiteX1" fmla="*/ 7145 w 1650207"/>
            <a:gd name="connsiteY1" fmla="*/ 0 h 658813"/>
            <a:gd name="connsiteX2" fmla="*/ 238125 w 1650207"/>
            <a:gd name="connsiteY2" fmla="*/ 257175 h 658813"/>
            <a:gd name="connsiteX3" fmla="*/ 433388 w 1650207"/>
            <a:gd name="connsiteY3" fmla="*/ 431007 h 658813"/>
            <a:gd name="connsiteX4" fmla="*/ 785813 w 1650207"/>
            <a:gd name="connsiteY4" fmla="*/ 600075 h 658813"/>
            <a:gd name="connsiteX5" fmla="*/ 1143000 w 1650207"/>
            <a:gd name="connsiteY5" fmla="*/ 652463 h 658813"/>
            <a:gd name="connsiteX6" fmla="*/ 1373981 w 1650207"/>
            <a:gd name="connsiteY6" fmla="*/ 638175 h 658813"/>
            <a:gd name="connsiteX7" fmla="*/ 1650207 w 1650207"/>
            <a:gd name="connsiteY7" fmla="*/ 600075 h 658813"/>
            <a:gd name="connsiteX0" fmla="*/ 0 w 1650207"/>
            <a:gd name="connsiteY0" fmla="*/ 0 h 658813"/>
            <a:gd name="connsiteX1" fmla="*/ 7145 w 1650207"/>
            <a:gd name="connsiteY1" fmla="*/ 0 h 658813"/>
            <a:gd name="connsiteX2" fmla="*/ 238125 w 1650207"/>
            <a:gd name="connsiteY2" fmla="*/ 257175 h 658813"/>
            <a:gd name="connsiteX3" fmla="*/ 433388 w 1650207"/>
            <a:gd name="connsiteY3" fmla="*/ 431007 h 658813"/>
            <a:gd name="connsiteX4" fmla="*/ 785813 w 1650207"/>
            <a:gd name="connsiteY4" fmla="*/ 600075 h 658813"/>
            <a:gd name="connsiteX5" fmla="*/ 1143000 w 1650207"/>
            <a:gd name="connsiteY5" fmla="*/ 652463 h 658813"/>
            <a:gd name="connsiteX6" fmla="*/ 1373981 w 1650207"/>
            <a:gd name="connsiteY6" fmla="*/ 638175 h 658813"/>
            <a:gd name="connsiteX7" fmla="*/ 1650207 w 1650207"/>
            <a:gd name="connsiteY7" fmla="*/ 600075 h 658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650207" h="658813">
              <a:moveTo>
                <a:pt x="0" y="0"/>
              </a:moveTo>
              <a:lnTo>
                <a:pt x="7145" y="0"/>
              </a:lnTo>
              <a:lnTo>
                <a:pt x="238125" y="257175"/>
              </a:lnTo>
              <a:cubicBezTo>
                <a:pt x="309166" y="329010"/>
                <a:pt x="370681" y="386558"/>
                <a:pt x="433388" y="431007"/>
              </a:cubicBezTo>
              <a:cubicBezTo>
                <a:pt x="503238" y="475456"/>
                <a:pt x="667544" y="563166"/>
                <a:pt x="785813" y="600075"/>
              </a:cubicBezTo>
              <a:cubicBezTo>
                <a:pt x="904082" y="636984"/>
                <a:pt x="1049734" y="653257"/>
                <a:pt x="1143000" y="652463"/>
              </a:cubicBezTo>
              <a:cubicBezTo>
                <a:pt x="1241028" y="658813"/>
                <a:pt x="1289447" y="646906"/>
                <a:pt x="1373981" y="638175"/>
              </a:cubicBezTo>
              <a:cubicBezTo>
                <a:pt x="1458515" y="629444"/>
                <a:pt x="1447801" y="623093"/>
                <a:pt x="1650207" y="600075"/>
              </a:cubicBezTo>
            </a:path>
          </a:pathLst>
        </a:custGeom>
        <a:ln w="31750">
          <a:tailEnd type="arrow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395288</xdr:colOff>
      <xdr:row>28</xdr:row>
      <xdr:rowOff>135731</xdr:rowOff>
    </xdr:from>
    <xdr:to>
      <xdr:col>17</xdr:col>
      <xdr:colOff>157163</xdr:colOff>
      <xdr:row>28</xdr:row>
      <xdr:rowOff>138113</xdr:rowOff>
    </xdr:to>
    <xdr:cxnSp macro="">
      <xdr:nvCxnSpPr>
        <xdr:cNvPr id="27" name="Straight Arrow Connector 26"/>
        <xdr:cNvCxnSpPr/>
      </xdr:nvCxnSpPr>
      <xdr:spPr>
        <a:xfrm>
          <a:off x="8929688" y="6517481"/>
          <a:ext cx="1590675" cy="2382"/>
        </a:xfrm>
        <a:prstGeom prst="straightConnector1">
          <a:avLst/>
        </a:prstGeom>
        <a:ln w="31750">
          <a:tailEnd type="arrow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107157</xdr:colOff>
      <xdr:row>0</xdr:row>
      <xdr:rowOff>250032</xdr:rowOff>
    </xdr:from>
    <xdr:to>
      <xdr:col>15</xdr:col>
      <xdr:colOff>35719</xdr:colOff>
      <xdr:row>1</xdr:row>
      <xdr:rowOff>357187</xdr:rowOff>
    </xdr:to>
    <xdr:grpSp>
      <xdr:nvGrpSpPr>
        <xdr:cNvPr id="28" name="Group 27"/>
        <xdr:cNvGrpSpPr/>
      </xdr:nvGrpSpPr>
      <xdr:grpSpPr>
        <a:xfrm>
          <a:off x="6812757" y="250032"/>
          <a:ext cx="2366962" cy="513555"/>
          <a:chOff x="6786563" y="250032"/>
          <a:chExt cx="2357437" cy="511968"/>
        </a:xfrm>
      </xdr:grpSpPr>
      <xdr:sp macro="" textlink="">
        <xdr:nvSpPr>
          <xdr:cNvPr id="30" name="Rounded Rectangle 29"/>
          <xdr:cNvSpPr/>
        </xdr:nvSpPr>
        <xdr:spPr>
          <a:xfrm>
            <a:off x="6822281" y="273844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31" name="TextBox 30">
            <a:hlinkClick xmlns:r="http://schemas.openxmlformats.org/officeDocument/2006/relationships" r:id="rId8"/>
          </xdr:cNvPr>
          <xdr:cNvSpPr txBox="1"/>
        </xdr:nvSpPr>
        <xdr:spPr>
          <a:xfrm>
            <a:off x="6786563" y="250032"/>
            <a:ext cx="2357437" cy="5119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40</xdr:row>
      <xdr:rowOff>76200</xdr:rowOff>
    </xdr:from>
    <xdr:to>
      <xdr:col>8</xdr:col>
      <xdr:colOff>104775</xdr:colOff>
      <xdr:row>43</xdr:row>
      <xdr:rowOff>9525</xdr:rowOff>
    </xdr:to>
    <xdr:grpSp>
      <xdr:nvGrpSpPr>
        <xdr:cNvPr id="2" name="Group 1"/>
        <xdr:cNvGrpSpPr/>
      </xdr:nvGrpSpPr>
      <xdr:grpSpPr>
        <a:xfrm>
          <a:off x="2790825" y="10210800"/>
          <a:ext cx="2381250" cy="504825"/>
          <a:chOff x="8848725" y="4763"/>
          <a:chExt cx="2381250" cy="504825"/>
        </a:xfrm>
      </xdr:grpSpPr>
      <xdr:sp macro="" textlink="">
        <xdr:nvSpPr>
          <xdr:cNvPr id="3" name="Rounded Rectangle 2"/>
          <xdr:cNvSpPr/>
        </xdr:nvSpPr>
        <xdr:spPr>
          <a:xfrm>
            <a:off x="8886825" y="14288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TextBox 3">
            <a:hlinkClick xmlns:r="http://schemas.openxmlformats.org/officeDocument/2006/relationships" r:id="rId1"/>
          </xdr:cNvPr>
          <xdr:cNvSpPr txBox="1"/>
        </xdr:nvSpPr>
        <xdr:spPr>
          <a:xfrm>
            <a:off x="8848725" y="4763"/>
            <a:ext cx="23812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  <xdr:twoCellAnchor>
    <xdr:from>
      <xdr:col>5</xdr:col>
      <xdr:colOff>25400</xdr:colOff>
      <xdr:row>48</xdr:row>
      <xdr:rowOff>114300</xdr:rowOff>
    </xdr:from>
    <xdr:to>
      <xdr:col>8</xdr:col>
      <xdr:colOff>457200</xdr:colOff>
      <xdr:row>53</xdr:row>
      <xdr:rowOff>50800</xdr:rowOff>
    </xdr:to>
    <xdr:grpSp>
      <xdr:nvGrpSpPr>
        <xdr:cNvPr id="7" name="Group 6"/>
        <xdr:cNvGrpSpPr/>
      </xdr:nvGrpSpPr>
      <xdr:grpSpPr>
        <a:xfrm>
          <a:off x="3263900" y="11877675"/>
          <a:ext cx="2260600" cy="889000"/>
          <a:chOff x="3073400" y="9055100"/>
          <a:chExt cx="2260600" cy="889000"/>
        </a:xfrm>
      </xdr:grpSpPr>
      <xdr:sp macro="" textlink="">
        <xdr:nvSpPr>
          <xdr:cNvPr id="5" name="Oval 4">
            <a:hlinkClick xmlns:r="http://schemas.openxmlformats.org/officeDocument/2006/relationships" r:id="rId2"/>
          </xdr:cNvPr>
          <xdr:cNvSpPr/>
        </xdr:nvSpPr>
        <xdr:spPr>
          <a:xfrm>
            <a:off x="3124200" y="9093200"/>
            <a:ext cx="2082800" cy="825500"/>
          </a:xfrm>
          <a:prstGeom prst="ellipse">
            <a:avLst/>
          </a:prstGeom>
          <a:solidFill>
            <a:schemeClr val="accent1"/>
          </a:solidFill>
          <a:scene3d>
            <a:camera prst="orthographicFront"/>
            <a:lightRig rig="threePt" dir="t"/>
          </a:scene3d>
          <a:sp3d>
            <a:bevelT/>
            <a:bevelB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6" name="TextBox 5">
            <a:hlinkClick xmlns:r="http://schemas.openxmlformats.org/officeDocument/2006/relationships" r:id="rId2"/>
          </xdr:cNvPr>
          <xdr:cNvSpPr txBox="1"/>
        </xdr:nvSpPr>
        <xdr:spPr>
          <a:xfrm>
            <a:off x="3073400" y="9055100"/>
            <a:ext cx="2260600" cy="889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800" b="1"/>
              <a:t>HELP for MACROS!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123825</xdr:rowOff>
    </xdr:from>
    <xdr:to>
      <xdr:col>5</xdr:col>
      <xdr:colOff>92093</xdr:colOff>
      <xdr:row>29</xdr:row>
      <xdr:rowOff>127001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591" b="2814"/>
        <a:stretch>
          <a:fillRect/>
        </a:stretch>
      </xdr:blipFill>
      <xdr:spPr bwMode="auto">
        <a:xfrm>
          <a:off x="0" y="1647825"/>
          <a:ext cx="3140093" cy="3508376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476250</xdr:colOff>
      <xdr:row>28</xdr:row>
      <xdr:rowOff>114301</xdr:rowOff>
    </xdr:from>
    <xdr:to>
      <xdr:col>4</xdr:col>
      <xdr:colOff>85725</xdr:colOff>
      <xdr:row>29</xdr:row>
      <xdr:rowOff>133350</xdr:rowOff>
    </xdr:to>
    <xdr:sp macro="" textlink="">
      <xdr:nvSpPr>
        <xdr:cNvPr id="1026" name="Rectangle 2"/>
        <xdr:cNvSpPr>
          <a:spLocks noChangeArrowheads="1"/>
        </xdr:cNvSpPr>
      </xdr:nvSpPr>
      <xdr:spPr bwMode="auto">
        <a:xfrm>
          <a:off x="1695450" y="4000501"/>
          <a:ext cx="828675" cy="209549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133350</xdr:colOff>
      <xdr:row>26</xdr:row>
      <xdr:rowOff>180975</xdr:rowOff>
    </xdr:from>
    <xdr:to>
      <xdr:col>6</xdr:col>
      <xdr:colOff>28575</xdr:colOff>
      <xdr:row>28</xdr:row>
      <xdr:rowOff>114300</xdr:rowOff>
    </xdr:to>
    <xdr:cxnSp macro="">
      <xdr:nvCxnSpPr>
        <xdr:cNvPr id="1027" name="AutoShape 3"/>
        <xdr:cNvCxnSpPr>
          <a:cxnSpLocks noChangeShapeType="1"/>
        </xdr:cNvCxnSpPr>
      </xdr:nvCxnSpPr>
      <xdr:spPr bwMode="auto">
        <a:xfrm flipH="1">
          <a:off x="2571750" y="4638675"/>
          <a:ext cx="1114425" cy="314325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0</xdr:col>
      <xdr:colOff>581025</xdr:colOff>
      <xdr:row>35</xdr:row>
      <xdr:rowOff>171450</xdr:rowOff>
    </xdr:from>
    <xdr:to>
      <xdr:col>10</xdr:col>
      <xdr:colOff>428625</xdr:colOff>
      <xdr:row>61</xdr:row>
      <xdr:rowOff>78105</xdr:rowOff>
    </xdr:to>
    <xdr:pic>
      <xdr:nvPicPr>
        <xdr:cNvPr id="5" name="Picture 4" descr="Popular options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314950"/>
          <a:ext cx="5943600" cy="485965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37</xdr:row>
      <xdr:rowOff>9525</xdr:rowOff>
    </xdr:from>
    <xdr:to>
      <xdr:col>2</xdr:col>
      <xdr:colOff>352425</xdr:colOff>
      <xdr:row>38</xdr:row>
      <xdr:rowOff>28575</xdr:rowOff>
    </xdr:to>
    <xdr:sp macro="" textlink="">
      <xdr:nvSpPr>
        <xdr:cNvPr id="1028" name="Rectangle 4"/>
        <xdr:cNvSpPr>
          <a:spLocks noChangeArrowheads="1"/>
        </xdr:cNvSpPr>
      </xdr:nvSpPr>
      <xdr:spPr bwMode="auto">
        <a:xfrm>
          <a:off x="695325" y="5534025"/>
          <a:ext cx="876300" cy="209550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352425</xdr:colOff>
      <xdr:row>35</xdr:row>
      <xdr:rowOff>76200</xdr:rowOff>
    </xdr:from>
    <xdr:to>
      <xdr:col>4</xdr:col>
      <xdr:colOff>247650</xdr:colOff>
      <xdr:row>37</xdr:row>
      <xdr:rowOff>9525</xdr:rowOff>
    </xdr:to>
    <xdr:cxnSp macro="">
      <xdr:nvCxnSpPr>
        <xdr:cNvPr id="1029" name="AutoShape 5"/>
        <xdr:cNvCxnSpPr>
          <a:cxnSpLocks noChangeShapeType="1"/>
        </xdr:cNvCxnSpPr>
      </xdr:nvCxnSpPr>
      <xdr:spPr bwMode="auto">
        <a:xfrm flipH="1">
          <a:off x="1571625" y="5219700"/>
          <a:ext cx="1114425" cy="314325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5</xdr:col>
      <xdr:colOff>342900</xdr:colOff>
      <xdr:row>40</xdr:row>
      <xdr:rowOff>38100</xdr:rowOff>
    </xdr:from>
    <xdr:to>
      <xdr:col>7</xdr:col>
      <xdr:colOff>238125</xdr:colOff>
      <xdr:row>41</xdr:row>
      <xdr:rowOff>171450</xdr:rowOff>
    </xdr:to>
    <xdr:cxnSp macro="">
      <xdr:nvCxnSpPr>
        <xdr:cNvPr id="1030" name="AutoShape 6"/>
        <xdr:cNvCxnSpPr>
          <a:cxnSpLocks noChangeShapeType="1"/>
        </xdr:cNvCxnSpPr>
      </xdr:nvCxnSpPr>
      <xdr:spPr bwMode="auto">
        <a:xfrm flipH="1">
          <a:off x="3390900" y="6134100"/>
          <a:ext cx="1114425" cy="323850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504825</xdr:colOff>
      <xdr:row>41</xdr:row>
      <xdr:rowOff>104775</xdr:rowOff>
    </xdr:from>
    <xdr:to>
      <xdr:col>5</xdr:col>
      <xdr:colOff>342900</xdr:colOff>
      <xdr:row>42</xdr:row>
      <xdr:rowOff>66675</xdr:rowOff>
    </xdr:to>
    <xdr:sp macro="" textlink="">
      <xdr:nvSpPr>
        <xdr:cNvPr id="1031" name="Rectangle 7"/>
        <xdr:cNvSpPr>
          <a:spLocks noChangeArrowheads="1"/>
        </xdr:cNvSpPr>
      </xdr:nvSpPr>
      <xdr:spPr bwMode="auto">
        <a:xfrm>
          <a:off x="1724025" y="6391275"/>
          <a:ext cx="1666875" cy="152400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10</xdr:col>
      <xdr:colOff>457200</xdr:colOff>
      <xdr:row>92</xdr:row>
      <xdr:rowOff>86360</xdr:rowOff>
    </xdr:to>
    <xdr:pic>
      <xdr:nvPicPr>
        <xdr:cNvPr id="10" name="Picture 9" descr="Options Add Ins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11239500"/>
          <a:ext cx="5943600" cy="484886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95</xdr:row>
      <xdr:rowOff>161925</xdr:rowOff>
    </xdr:from>
    <xdr:to>
      <xdr:col>10</xdr:col>
      <xdr:colOff>76200</xdr:colOff>
      <xdr:row>110</xdr:row>
      <xdr:rowOff>91297</xdr:rowOff>
    </xdr:to>
    <xdr:pic>
      <xdr:nvPicPr>
        <xdr:cNvPr id="11" name="Picture 10" descr="Add Ins Window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019550" y="17764125"/>
          <a:ext cx="2152650" cy="278687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74</xdr:row>
      <xdr:rowOff>95250</xdr:rowOff>
    </xdr:from>
    <xdr:to>
      <xdr:col>2</xdr:col>
      <xdr:colOff>323850</xdr:colOff>
      <xdr:row>75</xdr:row>
      <xdr:rowOff>104775</xdr:rowOff>
    </xdr:to>
    <xdr:sp macro="" textlink="">
      <xdr:nvSpPr>
        <xdr:cNvPr id="1032" name="Rectangle 8"/>
        <xdr:cNvSpPr>
          <a:spLocks noChangeArrowheads="1"/>
        </xdr:cNvSpPr>
      </xdr:nvSpPr>
      <xdr:spPr bwMode="auto">
        <a:xfrm>
          <a:off x="666750" y="12668250"/>
          <a:ext cx="876300" cy="200025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323850</xdr:colOff>
      <xdr:row>72</xdr:row>
      <xdr:rowOff>152400</xdr:rowOff>
    </xdr:from>
    <xdr:to>
      <xdr:col>4</xdr:col>
      <xdr:colOff>219075</xdr:colOff>
      <xdr:row>74</xdr:row>
      <xdr:rowOff>95250</xdr:rowOff>
    </xdr:to>
    <xdr:cxnSp macro="">
      <xdr:nvCxnSpPr>
        <xdr:cNvPr id="1033" name="AutoShape 9"/>
        <xdr:cNvCxnSpPr>
          <a:cxnSpLocks noChangeShapeType="1"/>
        </xdr:cNvCxnSpPr>
      </xdr:nvCxnSpPr>
      <xdr:spPr bwMode="auto">
        <a:xfrm flipH="1">
          <a:off x="1543050" y="12344400"/>
          <a:ext cx="1114425" cy="323850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3</xdr:col>
      <xdr:colOff>333375</xdr:colOff>
      <xdr:row>89</xdr:row>
      <xdr:rowOff>104775</xdr:rowOff>
    </xdr:from>
    <xdr:to>
      <xdr:col>5</xdr:col>
      <xdr:colOff>152400</xdr:colOff>
      <xdr:row>90</xdr:row>
      <xdr:rowOff>114300</xdr:rowOff>
    </xdr:to>
    <xdr:sp macro="" textlink="">
      <xdr:nvSpPr>
        <xdr:cNvPr id="1034" name="Rectangle 10"/>
        <xdr:cNvSpPr>
          <a:spLocks noChangeArrowheads="1"/>
        </xdr:cNvSpPr>
      </xdr:nvSpPr>
      <xdr:spPr bwMode="auto">
        <a:xfrm>
          <a:off x="2162175" y="15535275"/>
          <a:ext cx="1038225" cy="200025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571500</xdr:colOff>
      <xdr:row>90</xdr:row>
      <xdr:rowOff>180975</xdr:rowOff>
    </xdr:from>
    <xdr:to>
      <xdr:col>6</xdr:col>
      <xdr:colOff>590550</xdr:colOff>
      <xdr:row>93</xdr:row>
      <xdr:rowOff>57150</xdr:rowOff>
    </xdr:to>
    <xdr:cxnSp macro="">
      <xdr:nvCxnSpPr>
        <xdr:cNvPr id="1035" name="AutoShape 11"/>
        <xdr:cNvCxnSpPr>
          <a:cxnSpLocks noChangeShapeType="1"/>
        </xdr:cNvCxnSpPr>
      </xdr:nvCxnSpPr>
      <xdr:spPr bwMode="auto">
        <a:xfrm flipH="1" flipV="1">
          <a:off x="3619500" y="15801975"/>
          <a:ext cx="628650" cy="447675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10</xdr:col>
      <xdr:colOff>0</xdr:colOff>
      <xdr:row>19</xdr:row>
      <xdr:rowOff>0</xdr:rowOff>
    </xdr:from>
    <xdr:to>
      <xdr:col>13</xdr:col>
      <xdr:colOff>552450</xdr:colOff>
      <xdr:row>21</xdr:row>
      <xdr:rowOff>123825</xdr:rowOff>
    </xdr:to>
    <xdr:grpSp>
      <xdr:nvGrpSpPr>
        <xdr:cNvPr id="17" name="Group 16"/>
        <xdr:cNvGrpSpPr/>
      </xdr:nvGrpSpPr>
      <xdr:grpSpPr>
        <a:xfrm>
          <a:off x="6096000" y="3800475"/>
          <a:ext cx="2381250" cy="504825"/>
          <a:chOff x="8848725" y="4763"/>
          <a:chExt cx="2381250" cy="504825"/>
        </a:xfrm>
      </xdr:grpSpPr>
      <xdr:sp macro="" textlink="">
        <xdr:nvSpPr>
          <xdr:cNvPr id="18" name="Rounded Rectangle 17"/>
          <xdr:cNvSpPr/>
        </xdr:nvSpPr>
        <xdr:spPr>
          <a:xfrm>
            <a:off x="8886825" y="14288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9" name="TextBox 18">
            <a:hlinkClick xmlns:r="http://schemas.openxmlformats.org/officeDocument/2006/relationships" r:id="rId5"/>
          </xdr:cNvPr>
          <xdr:cNvSpPr txBox="1"/>
        </xdr:nvSpPr>
        <xdr:spPr>
          <a:xfrm>
            <a:off x="8848725" y="4763"/>
            <a:ext cx="23812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  <xdr:twoCellAnchor>
    <xdr:from>
      <xdr:col>2</xdr:col>
      <xdr:colOff>0</xdr:colOff>
      <xdr:row>111</xdr:row>
      <xdr:rowOff>0</xdr:rowOff>
    </xdr:from>
    <xdr:to>
      <xdr:col>5</xdr:col>
      <xdr:colOff>552450</xdr:colOff>
      <xdr:row>113</xdr:row>
      <xdr:rowOff>123825</xdr:rowOff>
    </xdr:to>
    <xdr:grpSp>
      <xdr:nvGrpSpPr>
        <xdr:cNvPr id="20" name="Group 19"/>
        <xdr:cNvGrpSpPr/>
      </xdr:nvGrpSpPr>
      <xdr:grpSpPr>
        <a:xfrm>
          <a:off x="1219200" y="21326475"/>
          <a:ext cx="2381250" cy="504825"/>
          <a:chOff x="8848725" y="4763"/>
          <a:chExt cx="2381250" cy="504825"/>
        </a:xfrm>
      </xdr:grpSpPr>
      <xdr:sp macro="" textlink="">
        <xdr:nvSpPr>
          <xdr:cNvPr id="21" name="Rounded Rectangle 20"/>
          <xdr:cNvSpPr/>
        </xdr:nvSpPr>
        <xdr:spPr>
          <a:xfrm>
            <a:off x="8886825" y="14288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2" name="TextBox 21">
            <a:hlinkClick xmlns:r="http://schemas.openxmlformats.org/officeDocument/2006/relationships" r:id="rId5"/>
          </xdr:cNvPr>
          <xdr:cNvSpPr txBox="1"/>
        </xdr:nvSpPr>
        <xdr:spPr>
          <a:xfrm>
            <a:off x="8848725" y="4763"/>
            <a:ext cx="23812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  <xdr:twoCellAnchor editAs="oneCell">
    <xdr:from>
      <xdr:col>0</xdr:col>
      <xdr:colOff>142875</xdr:colOff>
      <xdr:row>7</xdr:row>
      <xdr:rowOff>57150</xdr:rowOff>
    </xdr:from>
    <xdr:to>
      <xdr:col>0</xdr:col>
      <xdr:colOff>523875</xdr:colOff>
      <xdr:row>9</xdr:row>
      <xdr:rowOff>76200</xdr:rowOff>
    </xdr:to>
    <xdr:pic>
      <xdr:nvPicPr>
        <xdr:cNvPr id="23" name="Picture 22" descr="Office Butto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819150"/>
          <a:ext cx="381000" cy="400050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7</xdr:row>
      <xdr:rowOff>9525</xdr:rowOff>
    </xdr:from>
    <xdr:to>
      <xdr:col>1</xdr:col>
      <xdr:colOff>342900</xdr:colOff>
      <xdr:row>8</xdr:row>
      <xdr:rowOff>47625</xdr:rowOff>
    </xdr:to>
    <xdr:cxnSp macro="">
      <xdr:nvCxnSpPr>
        <xdr:cNvPr id="25" name="Straight Arrow Connector 24"/>
        <xdr:cNvCxnSpPr/>
      </xdr:nvCxnSpPr>
      <xdr:spPr>
        <a:xfrm flipH="1">
          <a:off x="400050" y="771525"/>
          <a:ext cx="552450" cy="2286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3</xdr:row>
          <xdr:rowOff>95250</xdr:rowOff>
        </xdr:from>
        <xdr:to>
          <xdr:col>12</xdr:col>
          <xdr:colOff>533400</xdr:colOff>
          <xdr:row>6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Print Instructions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95</xdr:row>
      <xdr:rowOff>152400</xdr:rowOff>
    </xdr:from>
    <xdr:to>
      <xdr:col>10</xdr:col>
      <xdr:colOff>201645</xdr:colOff>
      <xdr:row>110</xdr:row>
      <xdr:rowOff>174900</xdr:rowOff>
    </xdr:to>
    <xdr:pic>
      <xdr:nvPicPr>
        <xdr:cNvPr id="7171" name="Picture 71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18440400"/>
          <a:ext cx="2278095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10</xdr:col>
      <xdr:colOff>296382</xdr:colOff>
      <xdr:row>94</xdr:row>
      <xdr:rowOff>75548</xdr:rowOff>
    </xdr:to>
    <xdr:pic>
      <xdr:nvPicPr>
        <xdr:cNvPr id="7168" name="Picture 71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54000"/>
          <a:ext cx="6392382" cy="5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10</xdr:col>
      <xdr:colOff>326858</xdr:colOff>
      <xdr:row>62</xdr:row>
      <xdr:rowOff>67929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858000"/>
          <a:ext cx="6422858" cy="521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11</xdr:row>
      <xdr:rowOff>104775</xdr:rowOff>
    </xdr:from>
    <xdr:to>
      <xdr:col>5</xdr:col>
      <xdr:colOff>28195</xdr:colOff>
      <xdr:row>29</xdr:row>
      <xdr:rowOff>66242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6" y="2314575"/>
          <a:ext cx="3047619" cy="3466667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27</xdr:row>
      <xdr:rowOff>57151</xdr:rowOff>
    </xdr:from>
    <xdr:to>
      <xdr:col>1</xdr:col>
      <xdr:colOff>323850</xdr:colOff>
      <xdr:row>28</xdr:row>
      <xdr:rowOff>76200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04775" y="5391151"/>
          <a:ext cx="828675" cy="209549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333375</xdr:colOff>
      <xdr:row>25</xdr:row>
      <xdr:rowOff>180975</xdr:rowOff>
    </xdr:from>
    <xdr:to>
      <xdr:col>3</xdr:col>
      <xdr:colOff>228600</xdr:colOff>
      <xdr:row>27</xdr:row>
      <xdr:rowOff>114300</xdr:rowOff>
    </xdr:to>
    <xdr:cxnSp macro="">
      <xdr:nvCxnSpPr>
        <xdr:cNvPr id="4" name="AutoShape 3"/>
        <xdr:cNvCxnSpPr>
          <a:cxnSpLocks noChangeShapeType="1"/>
        </xdr:cNvCxnSpPr>
      </xdr:nvCxnSpPr>
      <xdr:spPr bwMode="auto">
        <a:xfrm flipH="1">
          <a:off x="942975" y="5133975"/>
          <a:ext cx="1114425" cy="314325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</xdr:col>
      <xdr:colOff>390525</xdr:colOff>
      <xdr:row>41</xdr:row>
      <xdr:rowOff>133350</xdr:rowOff>
    </xdr:from>
    <xdr:to>
      <xdr:col>3</xdr:col>
      <xdr:colOff>285750</xdr:colOff>
      <xdr:row>43</xdr:row>
      <xdr:rowOff>66675</xdr:rowOff>
    </xdr:to>
    <xdr:cxnSp macro="">
      <xdr:nvCxnSpPr>
        <xdr:cNvPr id="7" name="AutoShape 5"/>
        <xdr:cNvCxnSpPr>
          <a:cxnSpLocks noChangeShapeType="1"/>
        </xdr:cNvCxnSpPr>
      </xdr:nvCxnSpPr>
      <xdr:spPr bwMode="auto">
        <a:xfrm flipH="1">
          <a:off x="1000125" y="8134350"/>
          <a:ext cx="1114425" cy="314325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7</xdr:col>
      <xdr:colOff>523875</xdr:colOff>
      <xdr:row>48</xdr:row>
      <xdr:rowOff>114300</xdr:rowOff>
    </xdr:from>
    <xdr:to>
      <xdr:col>9</xdr:col>
      <xdr:colOff>419100</xdr:colOff>
      <xdr:row>50</xdr:row>
      <xdr:rowOff>57150</xdr:rowOff>
    </xdr:to>
    <xdr:cxnSp macro="">
      <xdr:nvCxnSpPr>
        <xdr:cNvPr id="8" name="AutoShape 6"/>
        <xdr:cNvCxnSpPr>
          <a:cxnSpLocks noChangeShapeType="1"/>
        </xdr:cNvCxnSpPr>
      </xdr:nvCxnSpPr>
      <xdr:spPr bwMode="auto">
        <a:xfrm flipH="1">
          <a:off x="4791075" y="9448800"/>
          <a:ext cx="1114425" cy="323850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6</xdr:col>
      <xdr:colOff>333375</xdr:colOff>
      <xdr:row>50</xdr:row>
      <xdr:rowOff>1</xdr:rowOff>
    </xdr:from>
    <xdr:to>
      <xdr:col>7</xdr:col>
      <xdr:colOff>495300</xdr:colOff>
      <xdr:row>50</xdr:row>
      <xdr:rowOff>171451</xdr:rowOff>
    </xdr:to>
    <xdr:sp macro="" textlink="">
      <xdr:nvSpPr>
        <xdr:cNvPr id="9" name="Rectangle 7"/>
        <xdr:cNvSpPr>
          <a:spLocks noChangeArrowheads="1"/>
        </xdr:cNvSpPr>
      </xdr:nvSpPr>
      <xdr:spPr bwMode="auto">
        <a:xfrm>
          <a:off x="3990975" y="9715501"/>
          <a:ext cx="771525" cy="171450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457200</xdr:colOff>
      <xdr:row>75</xdr:row>
      <xdr:rowOff>180975</xdr:rowOff>
    </xdr:from>
    <xdr:to>
      <xdr:col>3</xdr:col>
      <xdr:colOff>352425</xdr:colOff>
      <xdr:row>77</xdr:row>
      <xdr:rowOff>123825</xdr:rowOff>
    </xdr:to>
    <xdr:cxnSp macro="">
      <xdr:nvCxnSpPr>
        <xdr:cNvPr id="13" name="AutoShape 9"/>
        <xdr:cNvCxnSpPr>
          <a:cxnSpLocks noChangeShapeType="1"/>
        </xdr:cNvCxnSpPr>
      </xdr:nvCxnSpPr>
      <xdr:spPr bwMode="auto">
        <a:xfrm flipH="1">
          <a:off x="1066800" y="14658975"/>
          <a:ext cx="1114425" cy="323850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4</xdr:col>
      <xdr:colOff>447675</xdr:colOff>
      <xdr:row>91</xdr:row>
      <xdr:rowOff>28576</xdr:rowOff>
    </xdr:from>
    <xdr:to>
      <xdr:col>5</xdr:col>
      <xdr:colOff>419100</xdr:colOff>
      <xdr:row>92</xdr:row>
      <xdr:rowOff>28576</xdr:rowOff>
    </xdr:to>
    <xdr:sp macro="" textlink="">
      <xdr:nvSpPr>
        <xdr:cNvPr id="14" name="Rectangle 10"/>
        <xdr:cNvSpPr>
          <a:spLocks noChangeArrowheads="1"/>
        </xdr:cNvSpPr>
      </xdr:nvSpPr>
      <xdr:spPr bwMode="auto">
        <a:xfrm>
          <a:off x="2886075" y="17554576"/>
          <a:ext cx="581025" cy="190500"/>
        </a:xfrm>
        <a:prstGeom prst="rect">
          <a:avLst/>
        </a:prstGeom>
        <a:noFill/>
        <a:ln w="444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457200</xdr:colOff>
      <xdr:row>91</xdr:row>
      <xdr:rowOff>123825</xdr:rowOff>
    </xdr:from>
    <xdr:to>
      <xdr:col>6</xdr:col>
      <xdr:colOff>590550</xdr:colOff>
      <xdr:row>93</xdr:row>
      <xdr:rowOff>57151</xdr:rowOff>
    </xdr:to>
    <xdr:cxnSp macro="">
      <xdr:nvCxnSpPr>
        <xdr:cNvPr id="15" name="AutoShape 11"/>
        <xdr:cNvCxnSpPr>
          <a:cxnSpLocks noChangeShapeType="1"/>
        </xdr:cNvCxnSpPr>
      </xdr:nvCxnSpPr>
      <xdr:spPr bwMode="auto">
        <a:xfrm flipH="1" flipV="1">
          <a:off x="3505200" y="17649825"/>
          <a:ext cx="742950" cy="314326"/>
        </a:xfrm>
        <a:prstGeom prst="straightConnector1">
          <a:avLst/>
        </a:prstGeom>
        <a:noFill/>
        <a:ln w="34925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10</xdr:col>
      <xdr:colOff>0</xdr:colOff>
      <xdr:row>19</xdr:row>
      <xdr:rowOff>0</xdr:rowOff>
    </xdr:from>
    <xdr:to>
      <xdr:col>13</xdr:col>
      <xdr:colOff>552450</xdr:colOff>
      <xdr:row>21</xdr:row>
      <xdr:rowOff>123825</xdr:rowOff>
    </xdr:to>
    <xdr:grpSp>
      <xdr:nvGrpSpPr>
        <xdr:cNvPr id="16" name="Group 15"/>
        <xdr:cNvGrpSpPr/>
      </xdr:nvGrpSpPr>
      <xdr:grpSpPr>
        <a:xfrm>
          <a:off x="6096000" y="3810000"/>
          <a:ext cx="2381250" cy="504825"/>
          <a:chOff x="8848725" y="4763"/>
          <a:chExt cx="2381250" cy="504825"/>
        </a:xfrm>
      </xdr:grpSpPr>
      <xdr:sp macro="" textlink="">
        <xdr:nvSpPr>
          <xdr:cNvPr id="17" name="Rounded Rectangle 16"/>
          <xdr:cNvSpPr/>
        </xdr:nvSpPr>
        <xdr:spPr>
          <a:xfrm>
            <a:off x="8886825" y="14288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8" name="TextBox 17">
            <a:hlinkClick xmlns:r="http://schemas.openxmlformats.org/officeDocument/2006/relationships" r:id="rId5"/>
          </xdr:cNvPr>
          <xdr:cNvSpPr txBox="1"/>
        </xdr:nvSpPr>
        <xdr:spPr>
          <a:xfrm>
            <a:off x="8848725" y="4763"/>
            <a:ext cx="23812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  <xdr:twoCellAnchor>
    <xdr:from>
      <xdr:col>2</xdr:col>
      <xdr:colOff>0</xdr:colOff>
      <xdr:row>111</xdr:row>
      <xdr:rowOff>0</xdr:rowOff>
    </xdr:from>
    <xdr:to>
      <xdr:col>5</xdr:col>
      <xdr:colOff>552450</xdr:colOff>
      <xdr:row>113</xdr:row>
      <xdr:rowOff>123825</xdr:rowOff>
    </xdr:to>
    <xdr:grpSp>
      <xdr:nvGrpSpPr>
        <xdr:cNvPr id="19" name="Group 18"/>
        <xdr:cNvGrpSpPr/>
      </xdr:nvGrpSpPr>
      <xdr:grpSpPr>
        <a:xfrm>
          <a:off x="1219200" y="21336000"/>
          <a:ext cx="2381250" cy="504825"/>
          <a:chOff x="8848725" y="4763"/>
          <a:chExt cx="2381250" cy="504825"/>
        </a:xfrm>
      </xdr:grpSpPr>
      <xdr:sp macro="" textlink="">
        <xdr:nvSpPr>
          <xdr:cNvPr id="20" name="Rounded Rectangle 19"/>
          <xdr:cNvSpPr/>
        </xdr:nvSpPr>
        <xdr:spPr>
          <a:xfrm>
            <a:off x="8886825" y="14288"/>
            <a:ext cx="2309813" cy="485776"/>
          </a:xfrm>
          <a:prstGeom prst="roundRect">
            <a:avLst/>
          </a:prstGeom>
          <a:solidFill>
            <a:srgbClr val="D48886"/>
          </a:solidFill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1" name="TextBox 20">
            <a:hlinkClick xmlns:r="http://schemas.openxmlformats.org/officeDocument/2006/relationships" r:id="rId5"/>
          </xdr:cNvPr>
          <xdr:cNvSpPr txBox="1"/>
        </xdr:nvSpPr>
        <xdr:spPr>
          <a:xfrm>
            <a:off x="8848725" y="4763"/>
            <a:ext cx="23812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9144" tIns="9144" rIns="9144" bIns="9144" rtlCol="0" anchor="ctr"/>
          <a:lstStyle/>
          <a:p>
            <a:pPr algn="ctr"/>
            <a:r>
              <a:rPr lang="en-US" sz="1600" b="1"/>
              <a:t>Return to Main</a:t>
            </a:r>
            <a:r>
              <a:rPr lang="en-US" sz="1600" b="1" baseline="0"/>
              <a:t> Window</a:t>
            </a:r>
            <a:endParaRPr lang="en-US" sz="1600" b="1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3</xdr:row>
          <xdr:rowOff>85725</xdr:rowOff>
        </xdr:from>
        <xdr:to>
          <xdr:col>13</xdr:col>
          <xdr:colOff>371475</xdr:colOff>
          <xdr:row>6</xdr:row>
          <xdr:rowOff>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Print Instructions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552450</xdr:colOff>
      <xdr:row>5</xdr:row>
      <xdr:rowOff>152400</xdr:rowOff>
    </xdr:from>
    <xdr:to>
      <xdr:col>8</xdr:col>
      <xdr:colOff>371269</xdr:colOff>
      <xdr:row>7</xdr:row>
      <xdr:rowOff>38067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00450" y="1219200"/>
          <a:ext cx="1647619" cy="26666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6</xdr:row>
      <xdr:rowOff>142876</xdr:rowOff>
    </xdr:from>
    <xdr:to>
      <xdr:col>7</xdr:col>
      <xdr:colOff>57150</xdr:colOff>
      <xdr:row>7</xdr:row>
      <xdr:rowOff>171450</xdr:rowOff>
    </xdr:to>
    <xdr:cxnSp macro="">
      <xdr:nvCxnSpPr>
        <xdr:cNvPr id="27" name="Straight Arrow Connector 26"/>
        <xdr:cNvCxnSpPr/>
      </xdr:nvCxnSpPr>
      <xdr:spPr>
        <a:xfrm flipH="1" flipV="1">
          <a:off x="3924300" y="1400176"/>
          <a:ext cx="400050" cy="219074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SC145"/>
  <sheetViews>
    <sheetView tabSelected="1" zoomScaleNormal="100" workbookViewId="0">
      <selection activeCell="B3" sqref="B3"/>
    </sheetView>
  </sheetViews>
  <sheetFormatPr defaultRowHeight="15" x14ac:dyDescent="0.25"/>
  <cols>
    <col min="1" max="1" width="17.28515625" style="3" customWidth="1"/>
    <col min="2" max="2" width="39.140625" style="3" customWidth="1"/>
    <col min="3" max="3" width="15" style="3" customWidth="1"/>
    <col min="4" max="4" width="15.28515625" style="3" customWidth="1"/>
    <col min="5" max="5" width="30.140625" style="3" customWidth="1"/>
    <col min="6" max="6" width="28.140625" style="3" customWidth="1"/>
    <col min="7" max="7" width="15.28515625" style="3" customWidth="1"/>
    <col min="8" max="8" width="14.5703125" style="3" customWidth="1"/>
    <col min="9" max="9" width="9.7109375" style="3" customWidth="1"/>
    <col min="10" max="10" width="10.5703125" style="3" customWidth="1"/>
    <col min="11" max="11" width="9.5703125" style="3" bestFit="1" customWidth="1"/>
    <col min="12" max="12" width="9.140625" style="3"/>
    <col min="13" max="13" width="13.5703125" style="3" bestFit="1" customWidth="1"/>
    <col min="14" max="14" width="17.5703125" style="3" bestFit="1" customWidth="1"/>
    <col min="15" max="15" width="10" style="3" bestFit="1" customWidth="1"/>
    <col min="16" max="16" width="13.5703125" style="3" bestFit="1" customWidth="1"/>
    <col min="17" max="17" width="10" style="3" bestFit="1" customWidth="1"/>
    <col min="18" max="19" width="9.140625" style="3"/>
    <col min="20" max="20" width="11" style="3" bestFit="1" customWidth="1"/>
    <col min="21" max="21" width="9.140625" style="3"/>
    <col min="22" max="22" width="12" style="3" bestFit="1" customWidth="1"/>
    <col min="23" max="23" width="14.42578125" style="3" bestFit="1" customWidth="1"/>
    <col min="24" max="24" width="9.5703125" style="3" bestFit="1" customWidth="1"/>
    <col min="25" max="25" width="9.140625" style="3"/>
    <col min="26" max="26" width="10" style="3" bestFit="1" customWidth="1"/>
    <col min="27" max="27" width="9.5703125" style="3" bestFit="1" customWidth="1"/>
    <col min="28" max="32" width="9.140625" style="3"/>
    <col min="33" max="33" width="13.7109375" style="3" customWidth="1"/>
    <col min="34" max="34" width="9.140625" style="3"/>
    <col min="35" max="35" width="9.5703125" style="3" bestFit="1" customWidth="1"/>
    <col min="36" max="36" width="10" style="3" bestFit="1" customWidth="1"/>
    <col min="37" max="37" width="9.5703125" style="3" bestFit="1" customWidth="1"/>
    <col min="38" max="42" width="9.140625" style="3"/>
    <col min="43" max="43" width="13.5703125" style="3" customWidth="1"/>
    <col min="44" max="44" width="9.140625" style="3"/>
    <col min="45" max="45" width="9.5703125" style="3" bestFit="1" customWidth="1"/>
    <col min="46" max="46" width="10" style="3" bestFit="1" customWidth="1"/>
    <col min="47" max="47" width="9.5703125" style="3" bestFit="1" customWidth="1"/>
    <col min="48" max="52" width="9.140625" style="3"/>
    <col min="53" max="53" width="14.140625" style="3" customWidth="1"/>
    <col min="54" max="55" width="9.42578125" style="3" bestFit="1" customWidth="1"/>
    <col min="56" max="56" width="10" style="3" bestFit="1" customWidth="1"/>
    <col min="57" max="57" width="10.140625" style="3" bestFit="1" customWidth="1"/>
    <col min="58" max="61" width="9.140625" style="3"/>
    <col min="62" max="62" width="9.28515625" style="3" bestFit="1" customWidth="1"/>
    <col min="63" max="63" width="15.140625" style="3" bestFit="1" customWidth="1"/>
    <col min="64" max="65" width="9.140625" style="3"/>
    <col min="66" max="66" width="10" style="3" bestFit="1" customWidth="1"/>
    <col min="67" max="72" width="9.140625" style="3"/>
    <col min="73" max="73" width="15.140625" style="3" bestFit="1" customWidth="1"/>
    <col min="74" max="75" width="9.140625" style="3"/>
    <col min="76" max="76" width="10" style="3" bestFit="1" customWidth="1"/>
    <col min="77" max="82" width="9.140625" style="3"/>
    <col min="83" max="83" width="15.140625" style="3" bestFit="1" customWidth="1"/>
    <col min="84" max="85" width="9.140625" style="3"/>
    <col min="86" max="86" width="10" style="3" bestFit="1" customWidth="1"/>
    <col min="87" max="92" width="9.140625" style="3"/>
    <col min="93" max="93" width="15.140625" style="3" bestFit="1" customWidth="1"/>
    <col min="94" max="95" width="9.140625" style="3"/>
    <col min="96" max="96" width="11" style="3" bestFit="1" customWidth="1"/>
    <col min="97" max="102" width="9.140625" style="3"/>
    <col min="103" max="103" width="15.140625" style="3" bestFit="1" customWidth="1"/>
    <col min="104" max="105" width="9.140625" style="3"/>
    <col min="106" max="106" width="12" style="3" bestFit="1" customWidth="1"/>
    <col min="107" max="112" width="9.140625" style="3"/>
    <col min="113" max="113" width="15.140625" style="3" bestFit="1" customWidth="1"/>
    <col min="114" max="115" width="9.140625" style="3"/>
    <col min="116" max="116" width="12" style="3" bestFit="1" customWidth="1"/>
    <col min="117" max="122" width="9.140625" style="3"/>
    <col min="123" max="123" width="12" style="3" bestFit="1" customWidth="1"/>
    <col min="124" max="125" width="9.140625" style="3"/>
    <col min="126" max="126" width="12" style="3" bestFit="1" customWidth="1"/>
    <col min="127" max="132" width="9.140625" style="3"/>
    <col min="133" max="133" width="15.140625" style="3" bestFit="1" customWidth="1"/>
    <col min="134" max="135" width="9.140625" style="3"/>
    <col min="136" max="136" width="12" style="3" bestFit="1" customWidth="1"/>
    <col min="137" max="142" width="9.140625" style="3"/>
    <col min="143" max="143" width="15.140625" style="3" bestFit="1" customWidth="1"/>
    <col min="144" max="145" width="9.140625" style="3"/>
    <col min="146" max="146" width="13.7109375" style="3" customWidth="1"/>
    <col min="147" max="152" width="9.140625" style="3"/>
    <col min="153" max="153" width="15.140625" style="3" bestFit="1" customWidth="1"/>
    <col min="154" max="163" width="9.140625" style="3"/>
    <col min="164" max="164" width="12" style="3" bestFit="1" customWidth="1"/>
    <col min="165" max="170" width="9.140625" style="3"/>
    <col min="171" max="171" width="15.140625" style="3" bestFit="1" customWidth="1"/>
    <col min="172" max="173" width="9.140625" style="3"/>
    <col min="174" max="174" width="12" style="3" bestFit="1" customWidth="1"/>
    <col min="175" max="180" width="9.140625" style="3"/>
    <col min="181" max="181" width="15.140625" style="3" bestFit="1" customWidth="1"/>
    <col min="182" max="190" width="9.140625" style="3"/>
    <col min="191" max="191" width="15.140625" style="3" bestFit="1" customWidth="1"/>
    <col min="192" max="200" width="9.140625" style="3"/>
    <col min="201" max="201" width="15.140625" style="3" bestFit="1" customWidth="1"/>
    <col min="202" max="210" width="9.140625" style="3"/>
    <col min="211" max="211" width="15.140625" style="3" bestFit="1" customWidth="1"/>
    <col min="212" max="213" width="9.140625" style="3"/>
    <col min="214" max="214" width="12" style="3" bestFit="1" customWidth="1"/>
    <col min="215" max="220" width="9.140625" style="3"/>
    <col min="221" max="221" width="15.140625" style="3" bestFit="1" customWidth="1"/>
    <col min="222" max="223" width="9.140625" style="3"/>
    <col min="224" max="224" width="12" style="3" bestFit="1" customWidth="1"/>
    <col min="225" max="230" width="9.140625" style="3"/>
    <col min="231" max="231" width="15.140625" style="3" bestFit="1" customWidth="1"/>
    <col min="232" max="240" width="9.140625" style="3"/>
    <col min="241" max="241" width="15.140625" style="3" bestFit="1" customWidth="1"/>
    <col min="242" max="16384" width="9.140625" style="3"/>
  </cols>
  <sheetData>
    <row r="1" spans="1:12" ht="26.25" x14ac:dyDescent="0.4">
      <c r="A1" s="69" t="s">
        <v>0</v>
      </c>
      <c r="B1" s="72"/>
      <c r="C1" s="72"/>
      <c r="D1" s="72"/>
      <c r="E1" s="72"/>
      <c r="F1" s="106"/>
      <c r="G1" s="4" t="s">
        <v>531</v>
      </c>
      <c r="H1" s="72"/>
      <c r="I1" s="72"/>
      <c r="J1" s="72"/>
      <c r="K1" s="72"/>
      <c r="L1" s="72"/>
    </row>
    <row r="2" spans="1:12" ht="18.75" x14ac:dyDescent="0.3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2" ht="18.75" x14ac:dyDescent="0.3">
      <c r="A3" s="72" t="s">
        <v>1</v>
      </c>
      <c r="B3" s="73"/>
      <c r="C3" s="72"/>
      <c r="D3" s="72" t="s">
        <v>4</v>
      </c>
      <c r="E3" s="73"/>
      <c r="F3" s="75" t="s">
        <v>6</v>
      </c>
      <c r="G3" s="73"/>
      <c r="I3" s="72"/>
      <c r="J3" s="72"/>
      <c r="K3" s="72"/>
      <c r="L3" s="72"/>
    </row>
    <row r="4" spans="1:12" ht="18.75" x14ac:dyDescent="0.3">
      <c r="A4" s="72" t="s">
        <v>2</v>
      </c>
      <c r="B4" s="73"/>
      <c r="C4" s="72"/>
      <c r="D4" s="72" t="s">
        <v>5</v>
      </c>
      <c r="E4" s="73"/>
      <c r="F4" s="75" t="s">
        <v>6</v>
      </c>
      <c r="G4" s="73"/>
      <c r="I4" s="72"/>
      <c r="J4" s="72"/>
      <c r="K4" s="72"/>
      <c r="L4" s="72"/>
    </row>
    <row r="5" spans="1:12" ht="18.75" x14ac:dyDescent="0.3">
      <c r="A5" s="72" t="s">
        <v>3</v>
      </c>
      <c r="B5" s="112"/>
      <c r="C5" s="112"/>
      <c r="D5" s="112"/>
      <c r="E5" s="112"/>
      <c r="F5" s="72"/>
      <c r="G5" s="72"/>
      <c r="H5" s="72"/>
      <c r="I5" s="72"/>
      <c r="J5" s="72"/>
      <c r="K5" s="72"/>
      <c r="L5" s="72"/>
    </row>
    <row r="6" spans="1:12" ht="18.75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</row>
    <row r="7" spans="1:12" ht="18.75" x14ac:dyDescent="0.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</row>
    <row r="8" spans="1:12" ht="18.75" x14ac:dyDescent="0.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</row>
    <row r="9" spans="1:12" ht="18.75" x14ac:dyDescent="0.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</row>
    <row r="10" spans="1:12" ht="18.75" x14ac:dyDescent="0.3">
      <c r="A10" s="72"/>
      <c r="B10" s="72"/>
      <c r="C10" s="72"/>
      <c r="D10" s="72"/>
      <c r="E10" s="72"/>
      <c r="F10" s="72"/>
      <c r="G10" s="72"/>
      <c r="I10" s="72"/>
      <c r="J10" s="108"/>
      <c r="K10" s="72"/>
      <c r="L10" s="72"/>
    </row>
    <row r="11" spans="1:12" ht="18.75" x14ac:dyDescent="0.3">
      <c r="A11" s="72"/>
      <c r="B11" s="72"/>
      <c r="C11" s="72"/>
      <c r="D11" s="72"/>
      <c r="E11" s="72"/>
      <c r="F11" s="72"/>
      <c r="G11" s="72"/>
      <c r="I11" s="72"/>
      <c r="J11" s="72"/>
      <c r="K11" s="72"/>
      <c r="L11" s="72"/>
    </row>
    <row r="12" spans="1:12" ht="18.75" x14ac:dyDescent="0.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</row>
    <row r="13" spans="1:12" ht="23.25" x14ac:dyDescent="0.35">
      <c r="A13" s="72"/>
      <c r="B13" s="72"/>
      <c r="C13" s="72"/>
      <c r="D13" s="72"/>
      <c r="E13" s="72"/>
      <c r="F13" s="72"/>
      <c r="G13" s="72"/>
      <c r="H13" s="72"/>
      <c r="I13" s="109"/>
      <c r="J13" s="72"/>
      <c r="K13" s="72"/>
      <c r="L13" s="72"/>
    </row>
    <row r="14" spans="1:12" ht="19.5" thickBot="1" x14ac:dyDescent="0.35">
      <c r="A14" s="94" t="s">
        <v>227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</row>
    <row r="15" spans="1:12" ht="19.5" thickBot="1" x14ac:dyDescent="0.35">
      <c r="B15" s="75" t="s">
        <v>161</v>
      </c>
      <c r="C15" s="74"/>
      <c r="D15" s="72" t="s">
        <v>14</v>
      </c>
      <c r="E15" s="72"/>
      <c r="F15" s="72"/>
      <c r="G15" s="72"/>
      <c r="H15" s="72"/>
      <c r="I15" s="72"/>
      <c r="J15" s="72"/>
      <c r="K15" s="72"/>
      <c r="L15" s="72"/>
    </row>
    <row r="16" spans="1:12" ht="19.5" thickBot="1" x14ac:dyDescent="0.35">
      <c r="B16" s="75" t="s">
        <v>162</v>
      </c>
      <c r="C16" s="74"/>
      <c r="D16" s="72" t="s">
        <v>14</v>
      </c>
      <c r="E16" s="72"/>
      <c r="F16" s="72"/>
      <c r="G16" s="72"/>
      <c r="H16" s="72"/>
      <c r="I16" s="72"/>
      <c r="J16" s="72"/>
      <c r="K16" s="72"/>
      <c r="L16" s="72"/>
    </row>
    <row r="17" spans="1:12" ht="19.5" thickBot="1" x14ac:dyDescent="0.35">
      <c r="B17" s="75" t="s">
        <v>163</v>
      </c>
      <c r="C17" s="74"/>
      <c r="D17" s="72" t="s">
        <v>15</v>
      </c>
      <c r="E17" s="75" t="s">
        <v>12</v>
      </c>
      <c r="F17" s="76" t="s">
        <v>534</v>
      </c>
      <c r="G17" s="72"/>
      <c r="L17" s="72"/>
    </row>
    <row r="18" spans="1:12" ht="19.5" thickBot="1" x14ac:dyDescent="0.35">
      <c r="B18" s="75" t="s">
        <v>164</v>
      </c>
      <c r="C18" s="74"/>
      <c r="D18" s="72" t="s">
        <v>14</v>
      </c>
      <c r="E18" s="75" t="s">
        <v>13</v>
      </c>
      <c r="F18" s="76" t="s">
        <v>38</v>
      </c>
      <c r="G18" s="72"/>
      <c r="L18" s="72"/>
    </row>
    <row r="19" spans="1:12" ht="19.5" thickBot="1" x14ac:dyDescent="0.35">
      <c r="B19" s="75" t="s">
        <v>165</v>
      </c>
      <c r="C19" s="74"/>
      <c r="D19" s="72" t="s">
        <v>14</v>
      </c>
      <c r="E19" s="72"/>
      <c r="F19" s="111" t="str">
        <f>IF(ISNUMBER(IFERROR(B42,"Select an Inlet Type")),"",IFERROR(B42,"Select an Inlet Type"))</f>
        <v/>
      </c>
      <c r="G19" s="72"/>
      <c r="H19" s="72"/>
      <c r="I19" s="72"/>
      <c r="J19" s="72"/>
      <c r="K19" s="72"/>
      <c r="L19" s="72"/>
    </row>
    <row r="20" spans="1:12" ht="19.5" thickBot="1" x14ac:dyDescent="0.35">
      <c r="B20" s="75" t="s">
        <v>166</v>
      </c>
      <c r="C20" s="74"/>
      <c r="D20" s="72" t="s">
        <v>14</v>
      </c>
      <c r="E20" s="72"/>
      <c r="F20" s="8"/>
      <c r="G20" s="72"/>
      <c r="H20" s="72"/>
      <c r="I20" s="72"/>
      <c r="J20" s="72"/>
      <c r="K20" s="72"/>
      <c r="L20" s="72"/>
    </row>
    <row r="21" spans="1:12" ht="18.75" x14ac:dyDescent="0.3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1:12" ht="18.75" x14ac:dyDescent="0.3">
      <c r="A22" s="72"/>
      <c r="B22" s="72"/>
      <c r="C22" s="72"/>
      <c r="D22" s="72"/>
      <c r="E22" s="72"/>
      <c r="F22" s="7"/>
      <c r="G22" s="72"/>
      <c r="H22" s="72"/>
      <c r="I22" s="72"/>
      <c r="J22" s="72"/>
      <c r="K22" s="72"/>
      <c r="L22" s="72"/>
    </row>
    <row r="23" spans="1:12" ht="18.75" x14ac:dyDescent="0.3">
      <c r="A23" s="72"/>
      <c r="B23" s="5"/>
      <c r="C23" s="6"/>
      <c r="D23" s="7"/>
      <c r="E23" s="7"/>
      <c r="F23" s="72"/>
      <c r="G23" s="72"/>
      <c r="H23" s="72"/>
      <c r="I23" s="72"/>
      <c r="J23" s="72"/>
      <c r="K23" s="72"/>
      <c r="L23" s="72"/>
    </row>
    <row r="24" spans="1:12" ht="18.75" x14ac:dyDescent="0.3">
      <c r="A24" s="72"/>
      <c r="G24" s="72"/>
      <c r="H24" s="72"/>
      <c r="I24" s="72"/>
      <c r="J24" s="72"/>
      <c r="K24" s="72"/>
      <c r="L24" s="72"/>
    </row>
    <row r="25" spans="1:12" ht="18.75" x14ac:dyDescent="0.3">
      <c r="A25" s="94" t="s">
        <v>226</v>
      </c>
      <c r="G25" s="72"/>
      <c r="H25" s="72"/>
      <c r="I25" s="72"/>
      <c r="J25" s="72"/>
      <c r="K25" s="72"/>
      <c r="L25" s="72"/>
    </row>
    <row r="26" spans="1:12" ht="23.25" x14ac:dyDescent="0.35">
      <c r="B26" s="71" t="s">
        <v>67</v>
      </c>
      <c r="C26" s="80" t="str">
        <f>IF(C140="FALSE","",B124)</f>
        <v/>
      </c>
      <c r="D26" s="68" t="s">
        <v>152</v>
      </c>
      <c r="E26" s="110" t="str">
        <f>IF(C140="FALSE","MUST Select Compute Button to Re-Calculate",A123)</f>
        <v>MUST Select Compute Button to Re-Calculate</v>
      </c>
      <c r="F26" s="70"/>
      <c r="I26" s="72"/>
      <c r="J26" s="72"/>
      <c r="K26" s="72"/>
      <c r="L26" s="72"/>
    </row>
    <row r="27" spans="1:12" ht="18.75" x14ac:dyDescent="0.3">
      <c r="A27" s="72"/>
      <c r="B27" s="5"/>
      <c r="E27" s="7"/>
      <c r="F27" s="72"/>
      <c r="G27" s="72"/>
      <c r="H27" s="72"/>
      <c r="I27" s="72"/>
      <c r="J27" s="72"/>
      <c r="K27" s="72"/>
      <c r="L27" s="72"/>
    </row>
    <row r="28" spans="1:12" ht="18.75" x14ac:dyDescent="0.3">
      <c r="A28" s="72"/>
      <c r="C28" s="75" t="s">
        <v>39</v>
      </c>
      <c r="D28" s="77">
        <f>VLOOKUP(F17,'Culvert Data'!A3:B9,2,FALSE)</f>
        <v>2.4E-2</v>
      </c>
      <c r="E28" s="77" t="str">
        <f>F17</f>
        <v>CMP_2.67x0.5</v>
      </c>
      <c r="G28" s="72"/>
      <c r="H28" s="72"/>
      <c r="I28" s="72"/>
      <c r="J28" s="72"/>
      <c r="K28" s="72"/>
      <c r="L28" s="72"/>
    </row>
    <row r="29" spans="1:12" ht="18.75" x14ac:dyDescent="0.3">
      <c r="A29" s="72"/>
      <c r="B29" s="5"/>
      <c r="C29" s="75" t="s">
        <v>157</v>
      </c>
      <c r="D29" s="77">
        <f>VLOOKUP(F18,'Culvert Data'!A15:B20,2,FALSE)</f>
        <v>0.9</v>
      </c>
      <c r="E29" s="77" t="str">
        <f>F18</f>
        <v>Projecting - Thin Edge</v>
      </c>
      <c r="F29" s="72"/>
      <c r="G29" s="72"/>
      <c r="H29" s="72"/>
      <c r="I29" s="72"/>
      <c r="J29" s="72"/>
      <c r="K29" s="72"/>
      <c r="L29" s="72"/>
    </row>
    <row r="30" spans="1:12" ht="18.75" x14ac:dyDescent="0.3">
      <c r="A30" s="72"/>
      <c r="G30" s="72"/>
      <c r="H30" s="72"/>
      <c r="I30" s="72"/>
      <c r="J30" s="72"/>
      <c r="K30" s="72"/>
      <c r="L30" s="72"/>
    </row>
    <row r="31" spans="1:12" ht="18.75" x14ac:dyDescent="0.3">
      <c r="A31" s="72"/>
      <c r="B31" s="5"/>
      <c r="C31" s="6"/>
      <c r="D31" s="7"/>
      <c r="E31" s="7"/>
      <c r="F31" s="72"/>
      <c r="G31" s="72"/>
      <c r="H31" s="72"/>
      <c r="I31" s="72"/>
      <c r="J31" s="72"/>
      <c r="K31" s="72"/>
      <c r="L31" s="72"/>
    </row>
    <row r="32" spans="1:12" ht="18.75" x14ac:dyDescent="0.3">
      <c r="A32" s="78" t="str">
        <f>IF(C140="FALSE","","Scroll Down to View Computations")</f>
        <v/>
      </c>
      <c r="B32" s="5"/>
      <c r="C32" s="6"/>
      <c r="D32" s="7"/>
      <c r="E32" s="7"/>
      <c r="F32" s="72"/>
      <c r="G32" s="72"/>
      <c r="H32" s="72"/>
      <c r="I32" s="72"/>
      <c r="J32" s="72"/>
      <c r="K32" s="72"/>
      <c r="L32" s="72"/>
    </row>
    <row r="33" spans="1:12" ht="18.75" x14ac:dyDescent="0.3">
      <c r="A33" s="72"/>
      <c r="B33" s="5"/>
      <c r="C33" s="6"/>
      <c r="D33" s="7"/>
      <c r="E33" s="7"/>
      <c r="F33" s="72"/>
      <c r="G33" s="72"/>
      <c r="H33" s="72"/>
      <c r="I33" s="72"/>
      <c r="J33" s="72"/>
      <c r="K33" s="72"/>
      <c r="L33" s="72"/>
    </row>
    <row r="34" spans="1:12" ht="18.75" x14ac:dyDescent="0.3">
      <c r="A34" s="72"/>
      <c r="B34" s="5"/>
      <c r="C34" s="6"/>
      <c r="D34" s="7"/>
      <c r="E34" s="7"/>
      <c r="F34" s="72"/>
      <c r="G34" s="72"/>
      <c r="H34" s="72"/>
      <c r="I34" s="72"/>
      <c r="J34" s="72"/>
      <c r="K34" s="72"/>
      <c r="L34" s="72"/>
    </row>
    <row r="35" spans="1:12" s="10" customFormat="1" ht="21" x14ac:dyDescent="0.35">
      <c r="A35" s="9" t="s">
        <v>85</v>
      </c>
      <c r="E35" s="11"/>
      <c r="F35" s="12"/>
    </row>
    <row r="36" spans="1:12" s="10" customFormat="1" ht="21" x14ac:dyDescent="0.35">
      <c r="A36" s="9"/>
      <c r="E36" s="11"/>
      <c r="F36" s="12"/>
    </row>
    <row r="37" spans="1:12" s="10" customFormat="1" x14ac:dyDescent="0.25">
      <c r="A37" s="10" t="s">
        <v>113</v>
      </c>
    </row>
    <row r="38" spans="1:12" s="10" customFormat="1" x14ac:dyDescent="0.25">
      <c r="A38" s="10" t="s">
        <v>111</v>
      </c>
      <c r="B38" s="13">
        <f>C15-C16</f>
        <v>0</v>
      </c>
      <c r="C38" s="10" t="s">
        <v>27</v>
      </c>
      <c r="D38" s="10">
        <f>B38*12</f>
        <v>0</v>
      </c>
      <c r="E38" s="10" t="s">
        <v>55</v>
      </c>
      <c r="F38" s="10" t="s">
        <v>112</v>
      </c>
      <c r="G38" s="13">
        <f>IF((C20-C19)&lt;0,0,C20-C19)</f>
        <v>0</v>
      </c>
      <c r="H38" s="10" t="s">
        <v>27</v>
      </c>
    </row>
    <row r="39" spans="1:12" s="10" customFormat="1" x14ac:dyDescent="0.25">
      <c r="A39" s="10" t="s">
        <v>28</v>
      </c>
      <c r="B39" s="13">
        <f>C17/12</f>
        <v>0</v>
      </c>
      <c r="C39" s="10" t="s">
        <v>27</v>
      </c>
      <c r="D39" s="10">
        <f>B39*12</f>
        <v>0</v>
      </c>
      <c r="E39" s="10" t="s">
        <v>55</v>
      </c>
    </row>
    <row r="40" spans="1:12" s="10" customFormat="1" x14ac:dyDescent="0.25">
      <c r="A40" s="10" t="s">
        <v>205</v>
      </c>
      <c r="B40" s="57" t="e">
        <f>(C16-C19)/C18</f>
        <v>#DIV/0!</v>
      </c>
      <c r="C40" s="10" t="s">
        <v>29</v>
      </c>
    </row>
    <row r="41" spans="1:12" s="10" customFormat="1" ht="17.25" x14ac:dyDescent="0.25">
      <c r="A41" s="10" t="s">
        <v>106</v>
      </c>
      <c r="B41" s="79">
        <f>PI()*(B39/2)^2</f>
        <v>0</v>
      </c>
      <c r="C41" s="10" t="s">
        <v>30</v>
      </c>
      <c r="E41" s="11" t="s">
        <v>105</v>
      </c>
      <c r="F41" s="13">
        <f>PI()*B39</f>
        <v>0</v>
      </c>
      <c r="I41" s="11" t="s">
        <v>107</v>
      </c>
      <c r="J41" s="57" t="e">
        <f>B41/F41</f>
        <v>#DIV/0!</v>
      </c>
    </row>
    <row r="42" spans="1:12" s="10" customFormat="1" x14ac:dyDescent="0.25">
      <c r="A42" s="10" t="s">
        <v>42</v>
      </c>
      <c r="B42" s="57">
        <f>IF(F$17="Concrete", VLOOKUP(F$18,'Culvert Data'!C28:H31,3,FALSE), IF(F$17="CMP_2.67x0.5",VLOOKUP(F$18,'Culvert Data'!C$32:H$34,3,FALSE),IF(F$17="PVC_Plastic",VLOOKUP(F$18,'Culvert Data'!C$35:H36,3,FALSE),IF(F$17="Smooth_HDPE",VLOOKUP(F$18,'Culvert Data'!C$37:H$39,3,FALSE),IF(F$17="Corrugated_PE",VLOOKUP(F$18,'Culvert Data'!C$40:H$42,3,FALSE),IF(F$17="CMP_3x1",VLOOKUP(F$18,'Culvert Data'!C$43:H$45,3,FALSE),IF(F$17="Welded_Steel",VLOOKUP(F$18,'Culvert Data'!C$46:H$48,3,FALSE),"Data Not Available")))))))</f>
        <v>3.4000000000000002E-2</v>
      </c>
    </row>
    <row r="43" spans="1:12" s="10" customFormat="1" x14ac:dyDescent="0.25">
      <c r="A43" s="10" t="s">
        <v>41</v>
      </c>
      <c r="B43" s="13">
        <f>IF(F$17="Concrete", VLOOKUP(F$18,'Culvert Data'!C28:H31,4,FALSE), IF(F$17="CMP_2.67x0.5",VLOOKUP(F$18,'Culvert Data'!C$32:H$34,4,FALSE),IF(F$17="PVC_Plastic",VLOOKUP(F$18,'Culvert Data'!C$35:H36,4,FALSE),IF(F$17="Smooth_HDPE",VLOOKUP(F$18,'Culvert Data'!C$37:H$39,4,FALSE),IF(F$17="Corrugated_PE",VLOOKUP(F$18,'Culvert Data'!C$40:H$42,4,FALSE),IF(F$17="CMP_3x1",VLOOKUP(F$18,'Culvert Data'!C$43:H$45,4,FALSE),IF(F$17="Welded_Steel",VLOOKUP(F$18,'Culvert Data'!C$46:H$48,4,FALSE),"Data Not Available")))))))</f>
        <v>1.5</v>
      </c>
    </row>
    <row r="44" spans="1:12" s="10" customFormat="1" x14ac:dyDescent="0.25">
      <c r="A44" s="10" t="s">
        <v>49</v>
      </c>
      <c r="B44" s="57">
        <f>IF(F$17="Concrete", VLOOKUP(F$18,'Culvert Data'!C28:H31,5,FALSE), IF(F$17="CMP_2.67x0.5",VLOOKUP(F$18,'Culvert Data'!C$32:H$34,5,FALSE),IF(F$17="PVC_Plastic",VLOOKUP(F$18,'Culvert Data'!C$35:H36,5,FALSE),IF(F$17="Smooth_HDPE",VLOOKUP(F$18,'Culvert Data'!C$37:H$39,5,FALSE),IF(F$17="Corrugated_PE",VLOOKUP(F$18,'Culvert Data'!C$40:H$42,5,FALSE),IF(F$17="CMP_3x1",VLOOKUP(F$18,'Culvert Data'!C$43:H$45,5,FALSE),IF(F$17="Welded_Steel",VLOOKUP(F$18,'Culvert Data'!C$46:H$48,5,FALSE),"Data Not Available")))))))</f>
        <v>5.5300000000000002E-2</v>
      </c>
    </row>
    <row r="45" spans="1:12" s="10" customFormat="1" x14ac:dyDescent="0.25">
      <c r="A45" s="10" t="s">
        <v>25</v>
      </c>
      <c r="B45" s="57">
        <f>IF(F$17="Concrete", VLOOKUP(F$18,'Culvert Data'!C28:H31,6,FALSE), IF(F$17="CMP_2.67x0.5",VLOOKUP(F$18,'Culvert Data'!C$32:H$34,6,FALSE),IF(F$17="PVC_Plastic",VLOOKUP(F$18,'Culvert Data'!C$35:H36,6,FALSE),IF(F$17="Smooth_HDPE",VLOOKUP(F$18,'Culvert Data'!C$37:H$39,6,FALSE),IF(F$17="Corrugated_PE",VLOOKUP(F$18,'Culvert Data'!C$40:H$42,6,FALSE),IF(F$17="CMP_3x1",VLOOKUP(F$18,'Culvert Data'!C$43:H$45,6,FALSE),IF(F$17="Welded_Steel",VLOOKUP(F$18,'Culvert Data'!C$46:H$48,6,FALSE),"Data Not Available")))))))</f>
        <v>0.54</v>
      </c>
      <c r="C45" s="14"/>
    </row>
    <row r="46" spans="1:12" s="10" customFormat="1" x14ac:dyDescent="0.25">
      <c r="A46" s="10" t="s">
        <v>121</v>
      </c>
      <c r="B46" s="57" t="e">
        <f>29*D28^2/(J41)^(4/3)</f>
        <v>#DIV/0!</v>
      </c>
      <c r="C46" s="14"/>
    </row>
    <row r="47" spans="1:12" s="10" customFormat="1" x14ac:dyDescent="0.25">
      <c r="A47" s="15" t="s">
        <v>45</v>
      </c>
      <c r="B47" s="10" t="e">
        <f>0.5*B40</f>
        <v>#DIV/0!</v>
      </c>
      <c r="C47" s="10" t="s">
        <v>46</v>
      </c>
      <c r="F47" s="11" t="s">
        <v>78</v>
      </c>
      <c r="G47" s="10" t="e">
        <f>IF(F18='Culvert Data'!C33,-'Culvert Analysis'!B48,'Culvert Analysis'!B47)</f>
        <v>#DIV/0!</v>
      </c>
    </row>
    <row r="48" spans="1:12" s="10" customFormat="1" x14ac:dyDescent="0.25">
      <c r="A48" s="15" t="s">
        <v>47</v>
      </c>
      <c r="B48" s="10" t="e">
        <f>0.7*B40</f>
        <v>#DIV/0!</v>
      </c>
      <c r="C48" s="10" t="s">
        <v>48</v>
      </c>
    </row>
    <row r="50" spans="1:54" s="16" customFormat="1" ht="15.75" x14ac:dyDescent="0.25">
      <c r="A50" s="21" t="s">
        <v>189</v>
      </c>
      <c r="G50" s="17" t="s">
        <v>100</v>
      </c>
    </row>
    <row r="51" spans="1:54" s="16" customFormat="1" ht="15.75" x14ac:dyDescent="0.25">
      <c r="A51" s="21"/>
      <c r="G51" s="17"/>
    </row>
    <row r="52" spans="1:54" s="16" customFormat="1" ht="19.5" x14ac:dyDescent="0.35">
      <c r="A52" s="21" t="s">
        <v>139</v>
      </c>
      <c r="G52" s="17"/>
    </row>
    <row r="53" spans="1:54" s="16" customFormat="1" ht="15.75" x14ac:dyDescent="0.25">
      <c r="A53" s="21"/>
      <c r="G53" s="17"/>
    </row>
    <row r="54" spans="1:54" s="16" customFormat="1" ht="18" x14ac:dyDescent="0.25">
      <c r="A54" s="54" t="s">
        <v>141</v>
      </c>
      <c r="B54" s="56">
        <f>B41*B39^0.5</f>
        <v>0</v>
      </c>
      <c r="G54" s="17"/>
    </row>
    <row r="55" spans="1:54" s="16" customFormat="1" ht="15.75" x14ac:dyDescent="0.25">
      <c r="A55" s="54" t="s">
        <v>140</v>
      </c>
      <c r="B55" s="58">
        <f>1/B42</f>
        <v>29.411764705882351</v>
      </c>
      <c r="G55" s="17"/>
    </row>
    <row r="56" spans="1:54" s="16" customFormat="1" ht="15.75" x14ac:dyDescent="0.25">
      <c r="A56" s="54" t="s">
        <v>31</v>
      </c>
      <c r="B56" s="16" t="e">
        <f>B38/B39</f>
        <v>#DIV/0!</v>
      </c>
      <c r="G56" s="17"/>
    </row>
    <row r="57" spans="1:54" s="16" customFormat="1" ht="15.75" x14ac:dyDescent="0.25">
      <c r="A57" s="21" t="s">
        <v>142</v>
      </c>
      <c r="B57" s="16" t="e">
        <f>G47</f>
        <v>#DIV/0!</v>
      </c>
      <c r="G57" s="17"/>
    </row>
    <row r="58" spans="1:54" s="16" customFormat="1" ht="15.75" x14ac:dyDescent="0.25">
      <c r="A58" s="21"/>
      <c r="G58" s="17"/>
    </row>
    <row r="59" spans="1:54" s="16" customFormat="1" ht="15.75" x14ac:dyDescent="0.25">
      <c r="A59" s="21" t="s">
        <v>143</v>
      </c>
      <c r="G59" s="17"/>
    </row>
    <row r="60" spans="1:54" s="16" customFormat="1" ht="17.25" x14ac:dyDescent="0.25">
      <c r="A60" s="54" t="s">
        <v>53</v>
      </c>
      <c r="B60" s="55">
        <v>0.5</v>
      </c>
      <c r="C60" s="16" t="s">
        <v>152</v>
      </c>
      <c r="D60" s="16" t="s">
        <v>203</v>
      </c>
      <c r="E60" s="83">
        <f>IF(MIN(B41,B60,B67)=0,0.1,MIN(B41,B60,B67))</f>
        <v>0.1</v>
      </c>
      <c r="G60" s="17"/>
      <c r="H60" s="19" t="s">
        <v>193</v>
      </c>
      <c r="I60" s="16">
        <f>B60^2/32.2</f>
        <v>7.7639751552795021E-3</v>
      </c>
      <c r="O60" s="19" t="s">
        <v>194</v>
      </c>
      <c r="P60" s="16" t="e">
        <f>B39^2/8*(2*ACOS(1-(2*B61/B39))-SIN(2*ACOS(1-(2*B61/B39))))</f>
        <v>#DIV/0!</v>
      </c>
      <c r="BB60" s="16">
        <v>90.587271742897158</v>
      </c>
    </row>
    <row r="61" spans="1:54" s="16" customFormat="1" ht="15.75" x14ac:dyDescent="0.25">
      <c r="A61" s="54" t="s">
        <v>144</v>
      </c>
      <c r="B61" s="56" t="e">
        <v>#DIV/0!</v>
      </c>
      <c r="D61" s="19" t="s">
        <v>200</v>
      </c>
      <c r="E61" s="82" t="e">
        <f>IF((0.325*((E60/B39)^0.6666)+0.083*B39)&lt;B39,0.325*((E60/B39)^0.6666)+0.083*B39,0.99*B39)</f>
        <v>#DIV/0!</v>
      </c>
      <c r="F61" s="16" t="s">
        <v>201</v>
      </c>
      <c r="G61" s="17"/>
      <c r="O61" s="19" t="s">
        <v>195</v>
      </c>
      <c r="P61" s="16" t="e">
        <f xml:space="preserve"> B39*SIN(ACOS((2*B61-B39)/B39))</f>
        <v>#DIV/0!</v>
      </c>
    </row>
    <row r="62" spans="1:54" s="16" customFormat="1" ht="17.25" x14ac:dyDescent="0.25">
      <c r="A62" s="20" t="s">
        <v>43</v>
      </c>
      <c r="B62" s="60" t="e">
        <f>IF(B61&gt;B39,0,IF(B61&gt;(B39/2),4*(ACOS((B61/B39)^0.5))*360/(2*PI()),4*(ASIN((B61/B39)^0.5))*360/(2*PI())))</f>
        <v>#DIV/0!</v>
      </c>
      <c r="C62" s="16" t="s">
        <v>153</v>
      </c>
      <c r="E62" s="19" t="s">
        <v>514</v>
      </c>
      <c r="F62" s="16">
        <f>0.99*B39</f>
        <v>0</v>
      </c>
      <c r="G62" s="17"/>
      <c r="O62" s="19" t="s">
        <v>196</v>
      </c>
      <c r="P62" s="16" t="e">
        <f>P60^3/P61</f>
        <v>#DIV/0!</v>
      </c>
      <c r="T62" s="16" t="s">
        <v>197</v>
      </c>
      <c r="V62" s="16" t="s">
        <v>148</v>
      </c>
      <c r="W62" s="16" t="e">
        <f>ABS(P62-I60)</f>
        <v>#DIV/0!</v>
      </c>
    </row>
    <row r="63" spans="1:54" s="16" customFormat="1" ht="18.75" x14ac:dyDescent="0.35">
      <c r="A63" s="19" t="s">
        <v>147</v>
      </c>
      <c r="B63" s="16" t="e">
        <f>IF(B61&gt;(B39/2),((B39^2)/8)*((PI()*2-(PI()*B62/180)+(SIN(B62*2*PI()/360)))),((B39^2)/8*((PI()*B62/180-SIN(B62*2*PI()/360)))))</f>
        <v>#DIV/0!</v>
      </c>
      <c r="C63" s="16" t="s">
        <v>30</v>
      </c>
      <c r="D63" s="59"/>
      <c r="E63" s="19" t="s">
        <v>515</v>
      </c>
      <c r="F63" s="16">
        <f>0.1*B39</f>
        <v>0</v>
      </c>
      <c r="G63" s="17"/>
    </row>
    <row r="64" spans="1:54" s="16" customFormat="1" ht="18" x14ac:dyDescent="0.35">
      <c r="A64" s="19" t="s">
        <v>146</v>
      </c>
      <c r="B64" s="61" t="e">
        <f>B60/B63</f>
        <v>#DIV/0!</v>
      </c>
      <c r="C64" s="16" t="s">
        <v>154</v>
      </c>
      <c r="D64" s="59"/>
      <c r="G64" s="17"/>
    </row>
    <row r="65" spans="1:16" s="16" customFormat="1" ht="18.75" x14ac:dyDescent="0.35">
      <c r="A65" s="19" t="s">
        <v>56</v>
      </c>
      <c r="B65" s="61" t="e">
        <f>B61+(B64^2)/64.4</f>
        <v>#DIV/0!</v>
      </c>
      <c r="C65" s="16" t="s">
        <v>54</v>
      </c>
      <c r="D65" s="59"/>
      <c r="G65" s="17"/>
    </row>
    <row r="66" spans="1:16" s="16" customFormat="1" ht="18" x14ac:dyDescent="0.35">
      <c r="A66" s="19" t="s">
        <v>145</v>
      </c>
      <c r="B66" s="61" t="e">
        <f>B65/B39</f>
        <v>#DIV/0!</v>
      </c>
      <c r="C66" s="16" t="s">
        <v>29</v>
      </c>
      <c r="D66" s="59"/>
      <c r="G66" s="17"/>
    </row>
    <row r="67" spans="1:16" s="16" customFormat="1" ht="18" x14ac:dyDescent="0.35">
      <c r="A67" s="62" t="s">
        <v>150</v>
      </c>
      <c r="B67" s="67" t="str">
        <f>IF(ISERROR(IF((B56-B66+B57)&lt;0,0,B54*(B55*(B56-B66+B57))^(1/B43))),"",IF((B56-B66+B57)&lt;0,0,B54*(B55*(B56-B66+B57))^(1/B43)))</f>
        <v/>
      </c>
      <c r="C67" s="17" t="s">
        <v>152</v>
      </c>
      <c r="D67" s="17" t="s">
        <v>151</v>
      </c>
      <c r="H67" s="19" t="s">
        <v>148</v>
      </c>
      <c r="I67" s="66" t="e">
        <f>ABS(B60-B67)</f>
        <v>#VALUE!</v>
      </c>
      <c r="L67" s="19" t="s">
        <v>74</v>
      </c>
      <c r="M67" s="16" t="e">
        <f>ABS((B60-B67)/B67*100)</f>
        <v>#VALUE!</v>
      </c>
      <c r="N67" s="16" t="s">
        <v>75</v>
      </c>
      <c r="O67" s="19"/>
      <c r="P67" s="16" t="e">
        <f>IF(M67&lt;0.1,"Converged within 0.1%",IF(M67&lt;0.5,"Converged within 0.5%",IF(M67&lt;1,"Converged within 1.0%",IF(M67&lt;5,"Converged within 5.0%",IF(M67&lt;10,"Converged within 10%","Calculations Did not converge within 10%")))))</f>
        <v>#VALUE!</v>
      </c>
    </row>
    <row r="68" spans="1:16" s="16" customFormat="1" x14ac:dyDescent="0.25">
      <c r="D68" s="59"/>
    </row>
    <row r="69" spans="1:16" s="16" customFormat="1" ht="17.25" x14ac:dyDescent="0.25">
      <c r="A69" s="16" t="s">
        <v>149</v>
      </c>
      <c r="B69" s="16" t="e">
        <f>B67/B54</f>
        <v>#VALUE!</v>
      </c>
      <c r="D69" s="16" t="e">
        <f>IF(B69&gt;3.5,"!! Q/(AD^0.5) too high, Equation not Valid!!", "Value of Q/(AD^0.5) within acceptable range")</f>
        <v>#VALUE!</v>
      </c>
      <c r="G69" s="18"/>
    </row>
    <row r="70" spans="1:16" s="63" customFormat="1" x14ac:dyDescent="0.25">
      <c r="G70" s="64"/>
    </row>
    <row r="71" spans="1:16" x14ac:dyDescent="0.25">
      <c r="F71" s="4"/>
    </row>
    <row r="72" spans="1:16" s="23" customFormat="1" ht="15.75" x14ac:dyDescent="0.25">
      <c r="A72" s="22" t="s">
        <v>190</v>
      </c>
      <c r="H72" s="24" t="s">
        <v>101</v>
      </c>
    </row>
    <row r="73" spans="1:16" s="23" customFormat="1" x14ac:dyDescent="0.25"/>
    <row r="74" spans="1:16" s="23" customFormat="1" ht="18" x14ac:dyDescent="0.35">
      <c r="A74" s="23" t="s">
        <v>57</v>
      </c>
      <c r="B74" s="23" t="e">
        <f>IF((E74+G47-B45)&lt;0,0,(E77*((E74+G47-B45)/B44)^0.5))</f>
        <v>#DIV/0!</v>
      </c>
      <c r="D74" s="23" t="s">
        <v>44</v>
      </c>
      <c r="E74" s="23" t="e">
        <f>B38/B39</f>
        <v>#DIV/0!</v>
      </c>
    </row>
    <row r="75" spans="1:16" s="23" customFormat="1" x14ac:dyDescent="0.25">
      <c r="D75" s="25"/>
    </row>
    <row r="76" spans="1:16" s="23" customFormat="1" x14ac:dyDescent="0.25">
      <c r="A76" s="47" t="e">
        <f>IF(E78&lt;4,"Q/AD^0.5 is less than 4, Equation Does not Apply!","")</f>
        <v>#DIV/0!</v>
      </c>
      <c r="D76" s="25"/>
    </row>
    <row r="77" spans="1:16" s="23" customFormat="1" ht="17.25" x14ac:dyDescent="0.25">
      <c r="D77" s="23" t="s">
        <v>50</v>
      </c>
      <c r="E77" s="23">
        <f>B41*B39^0.5</f>
        <v>0</v>
      </c>
    </row>
    <row r="78" spans="1:16" s="23" customFormat="1" ht="17.25" x14ac:dyDescent="0.25">
      <c r="D78" s="23" t="s">
        <v>51</v>
      </c>
      <c r="E78" s="23" t="e">
        <f>B74/E77</f>
        <v>#DIV/0!</v>
      </c>
    </row>
    <row r="79" spans="1:16" s="23" customFormat="1" x14ac:dyDescent="0.25">
      <c r="D79" s="23" t="e">
        <f>IF(E78&lt;4,"Submerged Inlet Control Equation does not Apply","")</f>
        <v>#DIV/0!</v>
      </c>
    </row>
    <row r="80" spans="1:16" s="23" customFormat="1" x14ac:dyDescent="0.25"/>
    <row r="81" spans="1:20" s="23" customFormat="1" x14ac:dyDescent="0.25">
      <c r="A81" s="23" t="s">
        <v>73</v>
      </c>
      <c r="B81" s="23" t="e">
        <f>(B67+B74)/2</f>
        <v>#VALUE!</v>
      </c>
      <c r="C81" s="23" t="s">
        <v>80</v>
      </c>
    </row>
    <row r="82" spans="1:20" s="23" customFormat="1" x14ac:dyDescent="0.25"/>
    <row r="83" spans="1:20" s="23" customFormat="1" x14ac:dyDescent="0.25">
      <c r="A83" s="23" t="s">
        <v>103</v>
      </c>
      <c r="C83" s="24" t="str">
        <f>IF(B38&lt;B39,"Orifice Equation Does not Apply … Headwater is Below Top of Culvert at the Inlet","")</f>
        <v/>
      </c>
    </row>
    <row r="84" spans="1:20" s="23" customFormat="1" ht="18" x14ac:dyDescent="0.35">
      <c r="A84" s="23" t="s">
        <v>52</v>
      </c>
      <c r="B84" s="23">
        <f>IF(G84&lt;0,0,(0.6*B41*(2*32.2*(G84))^0.5))</f>
        <v>0</v>
      </c>
      <c r="C84" s="23" t="s">
        <v>104</v>
      </c>
      <c r="F84" s="23" t="s">
        <v>72</v>
      </c>
      <c r="G84" s="23">
        <f>IF(B38&lt;B39,0,C15-(C16+(C17/24)))</f>
        <v>0</v>
      </c>
    </row>
    <row r="87" spans="1:20" s="26" customFormat="1" x14ac:dyDescent="0.25">
      <c r="A87" s="26" t="s">
        <v>102</v>
      </c>
    </row>
    <row r="88" spans="1:20" s="26" customFormat="1" ht="18" x14ac:dyDescent="0.35">
      <c r="A88" s="26" t="s">
        <v>58</v>
      </c>
      <c r="B88" s="26" t="e">
        <f>IF(K88&lt;0,0,(B41*((2*32.2*K88)/(1+D29+(B46*C18)))^0.5))</f>
        <v>#DIV/0!</v>
      </c>
      <c r="C88" s="26" t="s">
        <v>59</v>
      </c>
      <c r="J88" s="26" t="s">
        <v>61</v>
      </c>
      <c r="K88" s="27">
        <f>C15-C20</f>
        <v>0</v>
      </c>
      <c r="O88" s="48"/>
      <c r="P88" s="48"/>
      <c r="S88" s="48"/>
      <c r="T88" s="27"/>
    </row>
    <row r="89" spans="1:20" s="26" customFormat="1" ht="18" x14ac:dyDescent="0.35">
      <c r="A89" s="26" t="s">
        <v>60</v>
      </c>
      <c r="B89" s="26" t="e">
        <f>IF(K89&lt;0,0,(B41*((2*32.2*K89)/(1+D29+(B46*C18)))^0.5))</f>
        <v>#DIV/0!</v>
      </c>
      <c r="C89" s="26" t="s">
        <v>71</v>
      </c>
      <c r="J89" s="26" t="s">
        <v>61</v>
      </c>
      <c r="K89" s="26">
        <f>C15-(C19+0.6*(C17/12))</f>
        <v>0</v>
      </c>
      <c r="P89" s="48"/>
      <c r="S89" s="48"/>
    </row>
    <row r="90" spans="1:20" s="26" customFormat="1" x14ac:dyDescent="0.25">
      <c r="P90" s="48"/>
    </row>
    <row r="91" spans="1:20" s="26" customFormat="1" x14ac:dyDescent="0.25">
      <c r="A91" s="46" t="s">
        <v>109</v>
      </c>
      <c r="O91" s="48"/>
      <c r="P91" s="48"/>
      <c r="Q91" s="49"/>
    </row>
    <row r="92" spans="1:20" s="26" customFormat="1" ht="18" x14ac:dyDescent="0.35">
      <c r="B92" s="48" t="s">
        <v>110</v>
      </c>
      <c r="C92" s="26" t="e">
        <f>IF(B38&gt;=B39,IF(C20&gt;=(C19+C17*0.6/12),B88,B89),0)</f>
        <v>#DIV/0!</v>
      </c>
      <c r="D92" s="81" t="e">
        <f>IF(C92=0, "'Full Flow' Outlet Control DOES NOT APPLY","")</f>
        <v>#DIV/0!</v>
      </c>
      <c r="J92" s="26" t="s">
        <v>204</v>
      </c>
      <c r="N92" s="49" t="e">
        <f>IF(MAX(B67,B74,C92)=0,1,IF(C92=0,IF(B74=0,B67,IF(B67=0,B74,MIN(B67,B74))),IF(MIN(B67,B74,C92)=0,1,MIN(B67,B74,C92))))</f>
        <v>#DIV/0!</v>
      </c>
      <c r="P92" s="48" t="e">
        <f>N92*0.5</f>
        <v>#DIV/0!</v>
      </c>
      <c r="S92" s="48"/>
      <c r="T92" s="27"/>
    </row>
    <row r="93" spans="1:20" s="26" customFormat="1" x14ac:dyDescent="0.25">
      <c r="P93" s="48"/>
      <c r="S93" s="48"/>
    </row>
    <row r="94" spans="1:20" s="26" customFormat="1" x14ac:dyDescent="0.25">
      <c r="P94" s="48"/>
      <c r="S94" s="48"/>
    </row>
    <row r="95" spans="1:20" s="26" customFormat="1" x14ac:dyDescent="0.25">
      <c r="A95" s="26" t="s">
        <v>188</v>
      </c>
      <c r="G95" s="26" t="s">
        <v>191</v>
      </c>
      <c r="P95" s="48"/>
      <c r="S95" s="48"/>
    </row>
    <row r="96" spans="1:20" s="26" customFormat="1" x14ac:dyDescent="0.25">
      <c r="A96" s="46" t="str">
        <f>IF(G38&gt;B39,"Part Full Outlet Control Does NOT Apply",IF(B38&gt;=(0.75*B39),"Part Full Outlet Control Equations DO Apply","Part Full Outlet Control Does NOT Apply"))</f>
        <v>Part Full Outlet Control Equations DO Apply</v>
      </c>
      <c r="P96" s="48"/>
      <c r="S96" s="48"/>
    </row>
    <row r="97" spans="1:497" s="26" customFormat="1" x14ac:dyDescent="0.25">
      <c r="A97" s="26" t="s">
        <v>118</v>
      </c>
      <c r="B97" s="65" t="e">
        <v>#DIV/0!</v>
      </c>
      <c r="F97" s="65"/>
      <c r="P97" s="48"/>
      <c r="S97" s="48"/>
    </row>
    <row r="98" spans="1:497" s="26" customFormat="1" ht="17.25" x14ac:dyDescent="0.25">
      <c r="B98" s="48" t="s">
        <v>114</v>
      </c>
      <c r="C98" s="26" t="e">
        <f>29*D$28^2/J41^1.3333*(B97/B41)^2/64.4</f>
        <v>#DIV/0!</v>
      </c>
      <c r="D98" s="26" t="s">
        <v>29</v>
      </c>
      <c r="E98" s="26" t="s">
        <v>192</v>
      </c>
      <c r="H98" s="48" t="s">
        <v>193</v>
      </c>
      <c r="I98" s="26" t="e">
        <f>B97^2/32.2</f>
        <v>#DIV/0!</v>
      </c>
      <c r="O98" s="48" t="s">
        <v>194</v>
      </c>
      <c r="P98" s="48" t="e">
        <f>B39^2/8*(2*ACOS(1-(2*C99/B39))-SIN(2*ACOS(1-(2*C99/B39))))</f>
        <v>#DIV/0!</v>
      </c>
      <c r="S98" s="48"/>
      <c r="U98" s="48" t="s">
        <v>198</v>
      </c>
      <c r="V98" s="26" t="e">
        <f>B39*ACOS(1-(2*C99)/B39)</f>
        <v>#DIV/0!</v>
      </c>
      <c r="Y98" s="26" t="s">
        <v>199</v>
      </c>
    </row>
    <row r="99" spans="1:497" s="26" customFormat="1" x14ac:dyDescent="0.25">
      <c r="B99" s="48" t="s">
        <v>115</v>
      </c>
      <c r="C99" s="26" t="e">
        <v>#DIV/0!</v>
      </c>
      <c r="D99" s="26" t="s">
        <v>27</v>
      </c>
      <c r="E99" s="48" t="s">
        <v>202</v>
      </c>
      <c r="F99" s="26" t="e">
        <f>IF((0.325*((B97/B39)^0.6666)+0.083*B39)&gt;=B39,0.95*B39,0.325*((B97/B39)^0.6666)+0.083*B39)</f>
        <v>#DIV/0!</v>
      </c>
      <c r="O99" s="48" t="s">
        <v>195</v>
      </c>
      <c r="P99" s="48" t="e">
        <f xml:space="preserve"> B39*SIN(ACOS((2*C99-B39)/B39))</f>
        <v>#DIV/0!</v>
      </c>
      <c r="S99" s="48"/>
      <c r="U99" s="48" t="s">
        <v>107</v>
      </c>
      <c r="V99" s="26" t="e">
        <f>P98/V98</f>
        <v>#DIV/0!</v>
      </c>
    </row>
    <row r="100" spans="1:497" s="26" customFormat="1" ht="17.25" x14ac:dyDescent="0.25">
      <c r="B100" s="48" t="s">
        <v>158</v>
      </c>
      <c r="C100" s="26" t="e">
        <f>(C99+B$39)/2</f>
        <v>#DIV/0!</v>
      </c>
      <c r="D100" s="26" t="s">
        <v>27</v>
      </c>
      <c r="E100" s="48" t="s">
        <v>514</v>
      </c>
      <c r="F100" s="26">
        <f>0.99*B39</f>
        <v>0</v>
      </c>
      <c r="O100" s="48" t="s">
        <v>196</v>
      </c>
      <c r="P100" s="48" t="e">
        <f>P98^3/P99</f>
        <v>#DIV/0!</v>
      </c>
      <c r="S100" s="48"/>
      <c r="T100" s="26" t="s">
        <v>197</v>
      </c>
      <c r="V100" s="26" t="s">
        <v>148</v>
      </c>
      <c r="W100" s="26" t="e">
        <f>ABS(P100-I98)</f>
        <v>#DIV/0!</v>
      </c>
      <c r="SC100" s="26">
        <v>0</v>
      </c>
    </row>
    <row r="101" spans="1:497" s="26" customFormat="1" x14ac:dyDescent="0.25">
      <c r="B101" s="48" t="s">
        <v>116</v>
      </c>
      <c r="C101" s="27" t="e">
        <f>MAX(C$20,(C$19+C100))</f>
        <v>#DIV/0!</v>
      </c>
      <c r="D101" s="26" t="s">
        <v>27</v>
      </c>
      <c r="E101" s="48" t="s">
        <v>515</v>
      </c>
      <c r="F101" s="26">
        <f>0.1*B39</f>
        <v>0</v>
      </c>
      <c r="P101" s="48"/>
      <c r="S101" s="48"/>
    </row>
    <row r="102" spans="1:497" s="26" customFormat="1" x14ac:dyDescent="0.25">
      <c r="B102" s="48" t="s">
        <v>117</v>
      </c>
      <c r="C102" s="26" t="e">
        <f>C101+(C98*C$18)+(1+D29)*((B97/B41)^2)/64.4</f>
        <v>#DIV/0!</v>
      </c>
      <c r="D102" s="26" t="s">
        <v>27</v>
      </c>
      <c r="E102" s="48" t="s">
        <v>155</v>
      </c>
      <c r="F102" s="26" t="e">
        <f>ABS(C102-C15)</f>
        <v>#DIV/0!</v>
      </c>
      <c r="P102" s="48"/>
      <c r="S102" s="48"/>
    </row>
    <row r="103" spans="1:497" s="26" customFormat="1" x14ac:dyDescent="0.25">
      <c r="B103" s="48"/>
      <c r="P103" s="48"/>
      <c r="S103" s="48"/>
    </row>
    <row r="104" spans="1:497" s="26" customFormat="1" x14ac:dyDescent="0.25">
      <c r="A104" s="48"/>
      <c r="B104" s="48"/>
      <c r="P104" s="48"/>
      <c r="S104" s="48"/>
    </row>
    <row r="105" spans="1:497" s="26" customFormat="1" x14ac:dyDescent="0.25">
      <c r="A105" s="46" t="s">
        <v>156</v>
      </c>
      <c r="B105" s="48"/>
      <c r="C105" s="48" t="e">
        <f>IF(AND(G38&lt;=B39,B38&gt;=(0.35*B39)),IF(F102&lt;0.09,B97,"Did Not Converge"),"Does NOT Apply")</f>
        <v>#DIV/0!</v>
      </c>
      <c r="D105" s="26" t="s">
        <v>152</v>
      </c>
      <c r="E105" s="46" t="s">
        <v>151</v>
      </c>
      <c r="P105" s="48"/>
      <c r="S105" s="48"/>
    </row>
    <row r="108" spans="1:497" s="28" customFormat="1" x14ac:dyDescent="0.25">
      <c r="A108" s="28" t="s">
        <v>62</v>
      </c>
      <c r="K108" s="99"/>
      <c r="R108" s="99"/>
    </row>
    <row r="109" spans="1:497" s="28" customFormat="1" ht="17.25" x14ac:dyDescent="0.25">
      <c r="A109" s="28" t="s">
        <v>203</v>
      </c>
      <c r="B109" s="28">
        <f>IF((C15-C20)&lt;=0,0,IF((C16-C19)&lt;=0,B117*B113,IF(B116&lt;B117,B116*B113,B117*B113)))</f>
        <v>0</v>
      </c>
      <c r="D109" s="28" t="s">
        <v>79</v>
      </c>
      <c r="K109" s="84"/>
      <c r="L109" s="84" t="s">
        <v>279</v>
      </c>
      <c r="M109" s="28" t="e">
        <f>F111^2/64.4</f>
        <v>#DIV/0!</v>
      </c>
      <c r="S109" s="84"/>
      <c r="T109" s="84" t="s">
        <v>298</v>
      </c>
      <c r="U109" s="84" t="s">
        <v>207</v>
      </c>
      <c r="V109" s="28" t="e">
        <f>Q116^2/64.4</f>
        <v>#DIV/0!</v>
      </c>
      <c r="AD109" s="84"/>
      <c r="AE109" s="84" t="s">
        <v>295</v>
      </c>
      <c r="AF109" s="28" t="e">
        <f>Z116^2/64.4</f>
        <v>#DIV/0!</v>
      </c>
      <c r="AN109" s="84"/>
      <c r="AO109" s="84" t="s">
        <v>299</v>
      </c>
      <c r="AP109" s="28" t="e">
        <f>AJ116^2/64.4</f>
        <v>#DIV/0!</v>
      </c>
      <c r="AX109" s="84"/>
      <c r="AY109" s="84" t="s">
        <v>302</v>
      </c>
      <c r="AZ109" s="28" t="e">
        <f>AT116^2/64.4</f>
        <v>#DIV/0!</v>
      </c>
      <c r="BH109" s="84"/>
      <c r="BI109" s="84" t="s">
        <v>305</v>
      </c>
      <c r="BJ109" s="28" t="e">
        <f>BD116^2/64.4</f>
        <v>#DIV/0!</v>
      </c>
      <c r="BR109" s="84"/>
      <c r="BS109" s="84" t="s">
        <v>307</v>
      </c>
      <c r="BT109" s="28" t="e">
        <f>BN116^2/64.4</f>
        <v>#DIV/0!</v>
      </c>
      <c r="CB109" s="84"/>
      <c r="CC109" s="84" t="s">
        <v>310</v>
      </c>
      <c r="CD109" s="28" t="e">
        <f>BX116^2/64.4</f>
        <v>#DIV/0!</v>
      </c>
      <c r="CL109" s="84"/>
      <c r="CM109" s="84" t="s">
        <v>318</v>
      </c>
      <c r="CN109" s="28" t="e">
        <f>CH116^2/64.4</f>
        <v>#DIV/0!</v>
      </c>
      <c r="CV109" s="84"/>
      <c r="CW109" s="84" t="s">
        <v>326</v>
      </c>
      <c r="CX109" s="28" t="e">
        <f>CR116^2/64.4</f>
        <v>#DIV/0!</v>
      </c>
      <c r="DF109" s="84"/>
      <c r="DG109" s="84" t="s">
        <v>334</v>
      </c>
      <c r="DH109" s="28" t="e">
        <f>DB116^2/64.4</f>
        <v>#DIV/0!</v>
      </c>
      <c r="DP109" s="84"/>
      <c r="DQ109" s="84" t="s">
        <v>342</v>
      </c>
      <c r="DR109" s="28" t="e">
        <f>DL116^2/64.4</f>
        <v>#DIV/0!</v>
      </c>
      <c r="DZ109" s="84"/>
      <c r="EA109" s="84" t="s">
        <v>350</v>
      </c>
      <c r="EB109" s="28" t="e">
        <f>DV116^2/64.4</f>
        <v>#DIV/0!</v>
      </c>
      <c r="EJ109" s="84"/>
      <c r="EK109" s="84" t="s">
        <v>358</v>
      </c>
      <c r="EL109" s="28" t="e">
        <f>EF116^2/64.4</f>
        <v>#DIV/0!</v>
      </c>
      <c r="EU109" s="84" t="s">
        <v>368</v>
      </c>
      <c r="EV109" s="28" t="e">
        <f>EP116^2/64.4</f>
        <v>#DIV/0!</v>
      </c>
      <c r="FC109" s="84" t="s">
        <v>369</v>
      </c>
      <c r="FD109" s="28" t="e">
        <f>EP117^2/64.4</f>
        <v>#DIV/0!</v>
      </c>
      <c r="FL109" s="84"/>
      <c r="FM109" s="84" t="s">
        <v>378</v>
      </c>
      <c r="FN109" s="28" t="e">
        <f>FH116^2/64.4</f>
        <v>#DIV/0!</v>
      </c>
      <c r="FV109" s="84"/>
      <c r="FW109" s="84" t="s">
        <v>386</v>
      </c>
      <c r="FX109" s="28" t="e">
        <f>FR116^2/64.4</f>
        <v>#DIV/0!</v>
      </c>
      <c r="GF109" s="84"/>
      <c r="GG109" s="84" t="s">
        <v>394</v>
      </c>
      <c r="GH109" s="28" t="e">
        <f>GB116^2/64.4</f>
        <v>#DIV/0!</v>
      </c>
      <c r="GP109" s="84"/>
      <c r="GQ109" s="84" t="s">
        <v>401</v>
      </c>
      <c r="GR109" s="28" t="e">
        <f>GL116^2/64.4</f>
        <v>#DIV/0!</v>
      </c>
      <c r="GZ109" s="84"/>
      <c r="HA109" s="84" t="s">
        <v>410</v>
      </c>
      <c r="HB109" s="28" t="e">
        <f>GV116^2/64.4</f>
        <v>#DIV/0!</v>
      </c>
      <c r="HJ109" s="84"/>
      <c r="HK109" s="84" t="s">
        <v>418</v>
      </c>
      <c r="HL109" s="28" t="e">
        <f>HF116^2/64.4</f>
        <v>#DIV/0!</v>
      </c>
      <c r="HT109" s="84"/>
      <c r="HU109" s="84" t="s">
        <v>472</v>
      </c>
      <c r="HV109" s="28" t="e">
        <f>HP116^2/64.4</f>
        <v>#DIV/0!</v>
      </c>
      <c r="IE109" s="84" t="s">
        <v>481</v>
      </c>
      <c r="IF109" s="28" t="e">
        <f>HZ116^2/64.4</f>
        <v>#DIV/0!</v>
      </c>
      <c r="IO109" s="84" t="s">
        <v>492</v>
      </c>
      <c r="IP109" s="28" t="e">
        <f>IJ116^2/64.4</f>
        <v>#DIV/0!</v>
      </c>
      <c r="IY109" s="84" t="s">
        <v>502</v>
      </c>
      <c r="IZ109" s="28" t="e">
        <f>IT116^2/64.4</f>
        <v>#DIV/0!</v>
      </c>
      <c r="JI109" s="84" t="s">
        <v>502</v>
      </c>
      <c r="JJ109" s="28" t="e">
        <f>JD116^2/64.4</f>
        <v>#DIV/0!</v>
      </c>
      <c r="JS109" s="28" t="s">
        <v>511</v>
      </c>
      <c r="JV109" s="28" t="e">
        <f>(IZ120+JJ120)/2</f>
        <v>#DIV/0!</v>
      </c>
      <c r="JW109" s="84" t="s">
        <v>512</v>
      </c>
      <c r="JX109" s="89" t="e">
        <f>ABS(JV109-C15)</f>
        <v>#DIV/0!</v>
      </c>
    </row>
    <row r="110" spans="1:497" s="28" customFormat="1" x14ac:dyDescent="0.25">
      <c r="A110" s="28" t="s">
        <v>273</v>
      </c>
      <c r="B110" s="28" t="e">
        <f>0.325*((B109/B39)^0.6666)+0.083*B39</f>
        <v>#DIV/0!</v>
      </c>
      <c r="C110" s="28" t="s">
        <v>54</v>
      </c>
      <c r="E110" s="84" t="s">
        <v>213</v>
      </c>
      <c r="F110" s="86" t="e">
        <f>IF(E115&lt;=0,0,IF(E114&lt;=0,E115,IF(E114&lt;E115,E114,E115)))</f>
        <v>#DIV/0!</v>
      </c>
      <c r="L110" s="84" t="s">
        <v>206</v>
      </c>
      <c r="M110" s="28" t="e">
        <f>(1+D29)*M109</f>
        <v>#DIV/0!</v>
      </c>
      <c r="N110" s="84" t="s">
        <v>470</v>
      </c>
      <c r="O110" s="103" t="e">
        <f>IF(($C$15-M110-$C$16)&lt;0,0,$C$15-M110-$C$16)</f>
        <v>#DIV/0!</v>
      </c>
      <c r="Q110" s="103"/>
      <c r="S110" s="84"/>
      <c r="U110" s="84" t="s">
        <v>206</v>
      </c>
      <c r="V110" s="28" t="e">
        <f>(1+D29)*V109</f>
        <v>#DIV/0!</v>
      </c>
      <c r="W110" s="84" t="s">
        <v>470</v>
      </c>
      <c r="X110" s="103" t="e">
        <f>IF(($C$15-V110-$C$16)&lt;0,0,$C$15-V110-$C$16)</f>
        <v>#DIV/0!</v>
      </c>
      <c r="AE110" s="84" t="s">
        <v>206</v>
      </c>
      <c r="AF110" s="28" t="e">
        <f>(1+$D$29)*AF109</f>
        <v>#DIV/0!</v>
      </c>
      <c r="AG110" s="84" t="s">
        <v>470</v>
      </c>
      <c r="AH110" s="103" t="e">
        <f>IF(($C$15-AF110-$C$16)&lt;0,0,$C$15-AF110-$C$16)</f>
        <v>#DIV/0!</v>
      </c>
      <c r="AO110" s="84" t="s">
        <v>206</v>
      </c>
      <c r="AP110" s="28" t="e">
        <f>(1+$D$29)*AP109</f>
        <v>#DIV/0!</v>
      </c>
      <c r="AQ110" s="84" t="s">
        <v>470</v>
      </c>
      <c r="AR110" s="103" t="e">
        <f>IF(($C$15-AP110-$C$16)&lt;0,0,$C$15-AP110-$C$16)</f>
        <v>#DIV/0!</v>
      </c>
      <c r="AY110" s="84" t="s">
        <v>206</v>
      </c>
      <c r="AZ110" s="28" t="e">
        <f>(1+$D$29)*AZ109</f>
        <v>#DIV/0!</v>
      </c>
      <c r="BA110" s="84" t="s">
        <v>470</v>
      </c>
      <c r="BB110" s="103" t="e">
        <f>IF(($C$15-AZ110-$C$16)&lt;0,0,$C$15-AZ110-$C$16)</f>
        <v>#DIV/0!</v>
      </c>
      <c r="BI110" s="84" t="s">
        <v>206</v>
      </c>
      <c r="BJ110" s="28" t="e">
        <f>(1+$D$29)*BJ109</f>
        <v>#DIV/0!</v>
      </c>
      <c r="BK110" s="84" t="s">
        <v>470</v>
      </c>
      <c r="BL110" s="103" t="e">
        <f>IF(($C$15-BJ110-$C$16)&lt;0,0,$C$15-BJ110-$C$16)</f>
        <v>#DIV/0!</v>
      </c>
      <c r="BS110" s="84" t="s">
        <v>206</v>
      </c>
      <c r="BT110" s="28" t="e">
        <f>(1+$D$29)*BT109</f>
        <v>#DIV/0!</v>
      </c>
      <c r="BU110" s="84" t="s">
        <v>470</v>
      </c>
      <c r="BV110" s="103" t="e">
        <f>IF(($C$15-BT110-$C$16)&lt;0,0,$C$15-BT110-$C$16)</f>
        <v>#DIV/0!</v>
      </c>
      <c r="CC110" s="84" t="s">
        <v>206</v>
      </c>
      <c r="CD110" s="28" t="e">
        <f>(1+$D$29)*CD109</f>
        <v>#DIV/0!</v>
      </c>
      <c r="CE110" s="84" t="s">
        <v>470</v>
      </c>
      <c r="CF110" s="103" t="e">
        <f>IF(($C$15-CD110-$C$16)&lt;0,0,$C$15-CD110-$C$16)</f>
        <v>#DIV/0!</v>
      </c>
      <c r="CM110" s="84" t="s">
        <v>206</v>
      </c>
      <c r="CN110" s="28" t="e">
        <f>(1+$D$29)*CN109</f>
        <v>#DIV/0!</v>
      </c>
      <c r="CO110" s="84" t="s">
        <v>470</v>
      </c>
      <c r="CP110" s="103" t="e">
        <f>IF(($C$15-CN110-$C$16)&lt;0,0,$C$15-CN110-$C$16)</f>
        <v>#DIV/0!</v>
      </c>
      <c r="CW110" s="84" t="s">
        <v>206</v>
      </c>
      <c r="CX110" s="28" t="e">
        <f>(1+$D$29)*CX109</f>
        <v>#DIV/0!</v>
      </c>
      <c r="CY110" s="84" t="s">
        <v>470</v>
      </c>
      <c r="CZ110" s="103" t="e">
        <f>IF(($C$15-CX110-$C$16)&lt;0,0,$C$15-CX110-$C$16)</f>
        <v>#DIV/0!</v>
      </c>
      <c r="DG110" s="84" t="s">
        <v>206</v>
      </c>
      <c r="DH110" s="28" t="e">
        <f>(1+$D$29)*DH109</f>
        <v>#DIV/0!</v>
      </c>
      <c r="DI110" s="84" t="s">
        <v>470</v>
      </c>
      <c r="DJ110" s="103" t="e">
        <f>IF(($C$15-DH110-$C$16)&lt;0,0,$C$15-DH110-$C$16)</f>
        <v>#DIV/0!</v>
      </c>
      <c r="DQ110" s="84" t="s">
        <v>206</v>
      </c>
      <c r="DR110" s="28" t="e">
        <f>(1+$D$29)*DR109</f>
        <v>#DIV/0!</v>
      </c>
      <c r="DS110" s="84" t="s">
        <v>470</v>
      </c>
      <c r="DT110" s="103" t="e">
        <f>IF(($C$15-DR110-$C$16)&lt;0,0,$C$15-DR110-$C$16)</f>
        <v>#DIV/0!</v>
      </c>
      <c r="EA110" s="84" t="s">
        <v>206</v>
      </c>
      <c r="EB110" s="28" t="e">
        <f>(1+$D$29)*EB109</f>
        <v>#DIV/0!</v>
      </c>
      <c r="EC110" s="84" t="s">
        <v>470</v>
      </c>
      <c r="ED110" s="103" t="e">
        <f>IF(($C$15-EB110-$C$16)&lt;0,0,$C$15-EB110-$C$16)</f>
        <v>#DIV/0!</v>
      </c>
      <c r="EK110" s="84" t="s">
        <v>206</v>
      </c>
      <c r="EL110" s="28" t="e">
        <f>(1+$D$29)*EL109</f>
        <v>#DIV/0!</v>
      </c>
      <c r="EM110" s="84" t="s">
        <v>470</v>
      </c>
      <c r="EN110" s="103" t="e">
        <f>IF(($C$15-EL110-$C$16)&lt;0,0,$C$15-EL110-$C$16)</f>
        <v>#DIV/0!</v>
      </c>
      <c r="EU110" s="84" t="s">
        <v>206</v>
      </c>
      <c r="EV110" s="28" t="e">
        <f>(1+$D$29)*EV109</f>
        <v>#DIV/0!</v>
      </c>
      <c r="EW110" s="84" t="s">
        <v>470</v>
      </c>
      <c r="EX110" s="103" t="e">
        <f>IF(($C$15-EV110-$C$16)&lt;0,0,$C$15-EV110-$C$16)</f>
        <v>#DIV/0!</v>
      </c>
      <c r="FC110" s="84" t="s">
        <v>206</v>
      </c>
      <c r="FD110" s="28" t="e">
        <f>(1+$D$29)*FD109</f>
        <v>#DIV/0!</v>
      </c>
      <c r="FE110" s="84" t="s">
        <v>470</v>
      </c>
      <c r="FF110" s="103" t="e">
        <f>IF(($C$15-FD110-$C$16)&lt;0,0,$C$15-FD110-$C$16)</f>
        <v>#DIV/0!</v>
      </c>
      <c r="FM110" s="84" t="s">
        <v>206</v>
      </c>
      <c r="FN110" s="28" t="e">
        <f>(1+$D$29)*FN109</f>
        <v>#DIV/0!</v>
      </c>
      <c r="FO110" s="84" t="s">
        <v>470</v>
      </c>
      <c r="FP110" s="103" t="e">
        <f>IF(($C$15-FN110-$C$16)&lt;0,0,$C$15-FN110-$C$16)</f>
        <v>#DIV/0!</v>
      </c>
      <c r="FW110" s="84" t="s">
        <v>206</v>
      </c>
      <c r="FX110" s="28" t="e">
        <f>(1+$D$29)*FX109</f>
        <v>#DIV/0!</v>
      </c>
      <c r="FY110" s="84" t="s">
        <v>470</v>
      </c>
      <c r="FZ110" s="103" t="e">
        <f>IF(($C$15-FX110-$C$16)&lt;0,0,$C$15-FX110-$C$16)</f>
        <v>#DIV/0!</v>
      </c>
      <c r="GG110" s="84" t="s">
        <v>206</v>
      </c>
      <c r="GH110" s="28" t="e">
        <f>(1+$D$29)*GH109</f>
        <v>#DIV/0!</v>
      </c>
      <c r="GI110" s="84" t="s">
        <v>470</v>
      </c>
      <c r="GJ110" s="103" t="e">
        <f>IF(($C$15-GH110-$C$16)&lt;0,0,$C$15-GH110-$C$16)</f>
        <v>#DIV/0!</v>
      </c>
      <c r="GQ110" s="84" t="s">
        <v>206</v>
      </c>
      <c r="GR110" s="28" t="e">
        <f>(1+$D$29)*GR109</f>
        <v>#DIV/0!</v>
      </c>
      <c r="GS110" s="84" t="s">
        <v>470</v>
      </c>
      <c r="GT110" s="103" t="e">
        <f>IF(($C$15-GR110-$C$16)&lt;0,0,$C$15-GR110-$C$16)</f>
        <v>#DIV/0!</v>
      </c>
      <c r="HA110" s="84" t="s">
        <v>206</v>
      </c>
      <c r="HB110" s="28" t="e">
        <f>(1+$D$29)*HB109</f>
        <v>#DIV/0!</v>
      </c>
      <c r="HC110" s="84" t="s">
        <v>470</v>
      </c>
      <c r="HD110" s="103" t="e">
        <f>IF(($C$15-HB110-$C$16)&lt;0,0,$C$15-HB110-$C$16)</f>
        <v>#DIV/0!</v>
      </c>
      <c r="HK110" s="84" t="s">
        <v>206</v>
      </c>
      <c r="HL110" s="28" t="e">
        <f>(1+$D$29)*HL109</f>
        <v>#DIV/0!</v>
      </c>
      <c r="HM110" s="84" t="s">
        <v>470</v>
      </c>
      <c r="HN110" s="103" t="e">
        <f>IF(($C$15-HL110-$C$16)&lt;0,0,$C$15-HL110-$C$16)</f>
        <v>#DIV/0!</v>
      </c>
      <c r="HU110" s="84" t="s">
        <v>206</v>
      </c>
      <c r="HV110" s="28" t="e">
        <f>(1+$D$29)*HV109</f>
        <v>#DIV/0!</v>
      </c>
      <c r="HW110" s="84" t="s">
        <v>470</v>
      </c>
      <c r="HX110" s="103" t="e">
        <f>IF(($C$15-HV110-$C$16)&lt;0,0,$C$15-HV110-$C$16)</f>
        <v>#DIV/0!</v>
      </c>
      <c r="IE110" s="84" t="s">
        <v>206</v>
      </c>
      <c r="IF110" s="28" t="e">
        <f>(1+$D$29)*IF109</f>
        <v>#DIV/0!</v>
      </c>
      <c r="IG110" s="84" t="s">
        <v>470</v>
      </c>
      <c r="IH110" s="103" t="e">
        <f>IF(($C$15-IF110-$C$16)&lt;0,0,$C$15-IF110-$C$16)</f>
        <v>#DIV/0!</v>
      </c>
      <c r="IO110" s="84" t="s">
        <v>206</v>
      </c>
      <c r="IP110" s="28" t="e">
        <f>(1+$D$29)*IP109</f>
        <v>#DIV/0!</v>
      </c>
      <c r="IQ110" s="84" t="s">
        <v>470</v>
      </c>
      <c r="IR110" s="103" t="e">
        <f>IF(($C$15-IP110-$C$16)&lt;0,0,$C$15-IP110-$C$16)</f>
        <v>#DIV/0!</v>
      </c>
      <c r="IY110" s="84" t="s">
        <v>206</v>
      </c>
      <c r="IZ110" s="28" t="e">
        <f>(1+$D$29)*IZ109</f>
        <v>#DIV/0!</v>
      </c>
      <c r="JA110" s="84" t="s">
        <v>470</v>
      </c>
      <c r="JB110" s="103" t="e">
        <f>IF(($C$15-IZ110-$C$16)&lt;0,0,$C$15-IZ110-$C$16)</f>
        <v>#DIV/0!</v>
      </c>
      <c r="JI110" s="84" t="s">
        <v>206</v>
      </c>
      <c r="JJ110" s="28" t="e">
        <f>(1+$D$29)*JJ109</f>
        <v>#DIV/0!</v>
      </c>
      <c r="JK110" s="84" t="s">
        <v>470</v>
      </c>
      <c r="JL110" s="103" t="e">
        <f>IF(($C$15-JJ110-$C$16)&lt;0,0,$C$15-JJ110-$C$16)</f>
        <v>#DIV/0!</v>
      </c>
      <c r="JS110" s="28" t="s">
        <v>513</v>
      </c>
      <c r="JV110" s="28" t="e">
        <f>IF(JD118&lt;(MIN(JN118,JX109)),IZ120,IF(JN118&lt;(MIN(JD118,JX109)),JJ120,JV109))</f>
        <v>#DIV/0!</v>
      </c>
      <c r="JW110" s="84" t="s">
        <v>512</v>
      </c>
      <c r="JX110" s="89" t="e">
        <f>JV110-C15</f>
        <v>#DIV/0!</v>
      </c>
    </row>
    <row r="111" spans="1:497" s="28" customFormat="1" x14ac:dyDescent="0.25">
      <c r="A111" s="28" t="s">
        <v>272</v>
      </c>
      <c r="B111" s="103" t="e">
        <f>MAX(B110,G38)</f>
        <v>#DIV/0!</v>
      </c>
      <c r="C111" s="28" t="s">
        <v>278</v>
      </c>
      <c r="E111" s="84" t="s">
        <v>214</v>
      </c>
      <c r="F111" s="88" t="e">
        <f>IF(B117&lt;=0,0,IF(B116&lt;=0,B117,IF(B116&lt;B117,B116,B117)))</f>
        <v>#DIV/0!</v>
      </c>
      <c r="L111" s="84" t="s">
        <v>280</v>
      </c>
      <c r="M111" s="28" t="e">
        <f>B111+C19+(F110*C18)</f>
        <v>#DIV/0!</v>
      </c>
      <c r="N111" s="84" t="s">
        <v>469</v>
      </c>
      <c r="O111" s="103" t="e">
        <f>((M111-$C$16)+O110)/2</f>
        <v>#DIV/0!</v>
      </c>
      <c r="P111" s="28" t="s">
        <v>54</v>
      </c>
      <c r="U111" s="84" t="s">
        <v>289</v>
      </c>
      <c r="V111" s="28" t="e">
        <f>M119+$C$19+(Q115*$C$18)</f>
        <v>#DIV/0!</v>
      </c>
      <c r="W111" s="86" t="s">
        <v>290</v>
      </c>
      <c r="X111" s="103" t="e">
        <f>((V111-$C$16)+X110)/2</f>
        <v>#DIV/0!</v>
      </c>
      <c r="Y111" s="28" t="s">
        <v>54</v>
      </c>
      <c r="AE111" s="84" t="s">
        <v>289</v>
      </c>
      <c r="AF111" s="28" t="e">
        <f>V119+$C$19+(Z115*$C$18)</f>
        <v>#DIV/0!</v>
      </c>
      <c r="AG111" s="86" t="s">
        <v>290</v>
      </c>
      <c r="AH111" s="103" t="e">
        <f>((AF111-$C$16)+AH110)/2</f>
        <v>#DIV/0!</v>
      </c>
      <c r="AI111" s="28" t="s">
        <v>54</v>
      </c>
      <c r="AO111" s="84" t="s">
        <v>289</v>
      </c>
      <c r="AP111" s="28" t="e">
        <f>AF119+$C$19+(AJ115*$C$18)</f>
        <v>#DIV/0!</v>
      </c>
      <c r="AQ111" s="86" t="s">
        <v>290</v>
      </c>
      <c r="AR111" s="103" t="e">
        <f>((AP111-$C$16)+AR110)/2</f>
        <v>#DIV/0!</v>
      </c>
      <c r="AS111" s="28" t="s">
        <v>54</v>
      </c>
      <c r="AY111" s="84" t="s">
        <v>289</v>
      </c>
      <c r="AZ111" s="28" t="e">
        <f>AP119+$C$19+(AT115*$C$18)</f>
        <v>#DIV/0!</v>
      </c>
      <c r="BA111" s="86" t="s">
        <v>290</v>
      </c>
      <c r="BB111" s="103" t="e">
        <f>((AZ111-$C$16)+BB110)/2</f>
        <v>#DIV/0!</v>
      </c>
      <c r="BC111" s="28" t="s">
        <v>54</v>
      </c>
      <c r="BI111" s="84" t="s">
        <v>289</v>
      </c>
      <c r="BJ111" s="28" t="e">
        <f>AZ119+$C$19+(BD115*$C$18)</f>
        <v>#DIV/0!</v>
      </c>
      <c r="BK111" s="86" t="s">
        <v>290</v>
      </c>
      <c r="BL111" s="103" t="e">
        <f>((BJ111-$C$16)+BL110)/2</f>
        <v>#DIV/0!</v>
      </c>
      <c r="BM111" s="28" t="s">
        <v>54</v>
      </c>
      <c r="BS111" s="84" t="s">
        <v>289</v>
      </c>
      <c r="BT111" s="28" t="e">
        <f>BJ119+$C$19+(BN115*$C$18)</f>
        <v>#DIV/0!</v>
      </c>
      <c r="BU111" s="86" t="s">
        <v>290</v>
      </c>
      <c r="BV111" s="103" t="e">
        <f>((BT111-$C$16)+BV110)/2</f>
        <v>#DIV/0!</v>
      </c>
      <c r="BW111" s="28" t="s">
        <v>54</v>
      </c>
      <c r="CC111" s="84" t="s">
        <v>289</v>
      </c>
      <c r="CD111" s="28" t="e">
        <f>BT119+$C$19+(BX115*$C$18)</f>
        <v>#DIV/0!</v>
      </c>
      <c r="CE111" s="86" t="s">
        <v>290</v>
      </c>
      <c r="CF111" s="103" t="e">
        <f>((CD111-$C$16)+CF110)/2</f>
        <v>#DIV/0!</v>
      </c>
      <c r="CG111" s="28" t="s">
        <v>54</v>
      </c>
      <c r="CM111" s="84" t="s">
        <v>289</v>
      </c>
      <c r="CN111" s="28" t="e">
        <f>CD119+$C$19+(CH115*$C$18)</f>
        <v>#DIV/0!</v>
      </c>
      <c r="CO111" s="86" t="s">
        <v>290</v>
      </c>
      <c r="CP111" s="103" t="e">
        <f>((CN111-$C$16)+CP110)/2</f>
        <v>#DIV/0!</v>
      </c>
      <c r="CQ111" s="28" t="s">
        <v>54</v>
      </c>
      <c r="CW111" s="84" t="s">
        <v>289</v>
      </c>
      <c r="CX111" s="28" t="e">
        <f>CN119+$C$19+(CR115*$C$18)</f>
        <v>#DIV/0!</v>
      </c>
      <c r="CY111" s="86" t="s">
        <v>290</v>
      </c>
      <c r="CZ111" s="103" t="e">
        <f>((CX111-$C$16)+CZ110)/2</f>
        <v>#DIV/0!</v>
      </c>
      <c r="DA111" s="28" t="s">
        <v>54</v>
      </c>
      <c r="DG111" s="84" t="s">
        <v>289</v>
      </c>
      <c r="DH111" s="28" t="e">
        <f>CX119+$C$19+(DB115*$C$18)</f>
        <v>#DIV/0!</v>
      </c>
      <c r="DI111" s="86" t="s">
        <v>290</v>
      </c>
      <c r="DJ111" s="103" t="e">
        <f>((DH111-$C$16)+DJ110)/2</f>
        <v>#DIV/0!</v>
      </c>
      <c r="DK111" s="28" t="s">
        <v>54</v>
      </c>
      <c r="DQ111" s="84" t="s">
        <v>289</v>
      </c>
      <c r="DR111" s="28" t="e">
        <f>DH119+$C$19+(DL115*$C$18)</f>
        <v>#DIV/0!</v>
      </c>
      <c r="DS111" s="86" t="s">
        <v>290</v>
      </c>
      <c r="DT111" s="103" t="e">
        <f>((DR111-$C$16)+DT110)/2</f>
        <v>#DIV/0!</v>
      </c>
      <c r="DU111" s="28" t="s">
        <v>54</v>
      </c>
      <c r="EA111" s="84" t="s">
        <v>289</v>
      </c>
      <c r="EB111" s="28" t="e">
        <f>DR119+$C$19+(DV115*$C$18)</f>
        <v>#DIV/0!</v>
      </c>
      <c r="EC111" s="86" t="s">
        <v>290</v>
      </c>
      <c r="ED111" s="103" t="e">
        <f>((EB111-$C$16)+ED110)/2</f>
        <v>#DIV/0!</v>
      </c>
      <c r="EE111" s="28" t="s">
        <v>54</v>
      </c>
      <c r="EK111" s="84" t="s">
        <v>289</v>
      </c>
      <c r="EL111" s="28" t="e">
        <f>EB119+$C$19+(EF115*$C$18)</f>
        <v>#DIV/0!</v>
      </c>
      <c r="EM111" s="86" t="s">
        <v>290</v>
      </c>
      <c r="EN111" s="103" t="e">
        <f>((EL111-$C$16)+EN110)/2</f>
        <v>#DIV/0!</v>
      </c>
      <c r="EO111" s="28" t="s">
        <v>54</v>
      </c>
      <c r="EU111" s="84" t="s">
        <v>289</v>
      </c>
      <c r="EV111" s="28" t="e">
        <f>EL119+$C$19+(EP113*$C$18)</f>
        <v>#DIV/0!</v>
      </c>
      <c r="EW111" s="86" t="s">
        <v>290</v>
      </c>
      <c r="EX111" s="103" t="e">
        <f>((EV111-$C$16)+EX110)/2</f>
        <v>#DIV/0!</v>
      </c>
      <c r="EY111" s="28" t="s">
        <v>54</v>
      </c>
      <c r="FC111" s="84" t="s">
        <v>367</v>
      </c>
      <c r="FD111" s="28" t="e">
        <f>EL119+$C$19+(EP114*$C$18)</f>
        <v>#DIV/0!</v>
      </c>
      <c r="FE111" s="86" t="s">
        <v>290</v>
      </c>
      <c r="FF111" s="103" t="e">
        <f>((FD111-$C$16)+FF110)/2</f>
        <v>#DIV/0!</v>
      </c>
      <c r="FG111" s="28" t="s">
        <v>54</v>
      </c>
      <c r="FM111" s="84" t="s">
        <v>289</v>
      </c>
      <c r="FN111" s="28" t="e">
        <f>EL119+$C$19+(FH115*$C$18)</f>
        <v>#DIV/0!</v>
      </c>
      <c r="FO111" s="86" t="s">
        <v>290</v>
      </c>
      <c r="FP111" s="103" t="e">
        <f>((FN111-$C$16)+FP110)/2</f>
        <v>#DIV/0!</v>
      </c>
      <c r="FQ111" s="28" t="s">
        <v>54</v>
      </c>
      <c r="FW111" s="84" t="s">
        <v>289</v>
      </c>
      <c r="FX111" s="28" t="e">
        <f>FN119+$C$19+(FR115*$C$18)</f>
        <v>#DIV/0!</v>
      </c>
      <c r="FY111" s="86" t="s">
        <v>290</v>
      </c>
      <c r="FZ111" s="103" t="e">
        <f>((FX111-$C$16)+FZ110)/2</f>
        <v>#DIV/0!</v>
      </c>
      <c r="GA111" s="28" t="s">
        <v>54</v>
      </c>
      <c r="GG111" s="84" t="s">
        <v>289</v>
      </c>
      <c r="GH111" s="28" t="e">
        <f>FX119+$C$19+(GB115*$C$18)</f>
        <v>#DIV/0!</v>
      </c>
      <c r="GI111" s="86" t="s">
        <v>290</v>
      </c>
      <c r="GJ111" s="103" t="e">
        <f>((GH111-$C$16)+GJ110)/2</f>
        <v>#DIV/0!</v>
      </c>
      <c r="GK111" s="28" t="s">
        <v>54</v>
      </c>
      <c r="GQ111" s="84" t="s">
        <v>289</v>
      </c>
      <c r="GR111" s="28" t="e">
        <f>GH119+$C$19+(GL115*$C$18)</f>
        <v>#DIV/0!</v>
      </c>
      <c r="GS111" s="86" t="s">
        <v>290</v>
      </c>
      <c r="GT111" s="103" t="e">
        <f>((GR111-$C$16)+GT110)/2</f>
        <v>#DIV/0!</v>
      </c>
      <c r="GU111" s="28" t="s">
        <v>54</v>
      </c>
      <c r="HA111" s="84" t="s">
        <v>289</v>
      </c>
      <c r="HB111" s="28" t="e">
        <f>GR119+$C$19+(GV115*$C$18)</f>
        <v>#DIV/0!</v>
      </c>
      <c r="HC111" s="86" t="s">
        <v>290</v>
      </c>
      <c r="HD111" s="103" t="e">
        <f>((HB111-$C$16)+HD110)/2</f>
        <v>#DIV/0!</v>
      </c>
      <c r="HE111" s="28" t="s">
        <v>54</v>
      </c>
      <c r="HK111" s="84" t="s">
        <v>289</v>
      </c>
      <c r="HL111" s="28" t="e">
        <f>HB119+$C$19+(HF115*$C$18)</f>
        <v>#DIV/0!</v>
      </c>
      <c r="HM111" s="86" t="s">
        <v>290</v>
      </c>
      <c r="HN111" s="103" t="e">
        <f>((HL111-$C$16)+HN110)/2</f>
        <v>#DIV/0!</v>
      </c>
      <c r="HO111" s="28" t="s">
        <v>54</v>
      </c>
      <c r="HU111" s="84" t="s">
        <v>289</v>
      </c>
      <c r="HV111" s="28" t="e">
        <f>HL119+$C$19+(HP115*$C$18)</f>
        <v>#DIV/0!</v>
      </c>
      <c r="HW111" s="86" t="s">
        <v>290</v>
      </c>
      <c r="HX111" s="103" t="e">
        <f>((HV111-$C$16)+HX110)/2</f>
        <v>#DIV/0!</v>
      </c>
      <c r="HY111" s="28" t="s">
        <v>54</v>
      </c>
      <c r="IE111" s="84" t="s">
        <v>289</v>
      </c>
      <c r="IF111" s="28" t="e">
        <f>HV119+$C$19+(HZ115*$C$18)</f>
        <v>#DIV/0!</v>
      </c>
      <c r="IG111" s="86" t="s">
        <v>290</v>
      </c>
      <c r="IH111" s="103" t="e">
        <f>((IF111-$C$16)+IH110)/2</f>
        <v>#DIV/0!</v>
      </c>
      <c r="II111" s="28" t="s">
        <v>54</v>
      </c>
      <c r="IO111" s="84" t="s">
        <v>289</v>
      </c>
      <c r="IP111" s="28" t="e">
        <f>IF119+$C$19+(IJ115*$C$18)</f>
        <v>#DIV/0!</v>
      </c>
      <c r="IQ111" s="86" t="s">
        <v>290</v>
      </c>
      <c r="IR111" s="103" t="e">
        <f>((IP111-$C$16)+IR110)/2</f>
        <v>#DIV/0!</v>
      </c>
      <c r="IS111" s="28" t="s">
        <v>54</v>
      </c>
      <c r="IY111" s="84" t="s">
        <v>289</v>
      </c>
      <c r="IZ111" s="28" t="e">
        <f>IP119+$C$19+(IT115*$C$18)</f>
        <v>#DIV/0!</v>
      </c>
      <c r="JA111" s="86" t="s">
        <v>290</v>
      </c>
      <c r="JB111" s="103" t="e">
        <f>((IZ111-$C$16)+JB110)/2</f>
        <v>#DIV/0!</v>
      </c>
      <c r="JC111" s="28" t="s">
        <v>54</v>
      </c>
      <c r="JI111" s="84" t="s">
        <v>289</v>
      </c>
      <c r="JJ111" s="28" t="e">
        <f>IZ119+$C$19+(JD115*$C$18)</f>
        <v>#DIV/0!</v>
      </c>
      <c r="JK111" s="86" t="s">
        <v>290</v>
      </c>
      <c r="JL111" s="103" t="e">
        <f>((JJ111-$C$16)+JL110)/2</f>
        <v>#DIV/0!</v>
      </c>
      <c r="JM111" s="28" t="s">
        <v>54</v>
      </c>
      <c r="JU111" s="28" t="s">
        <v>426</v>
      </c>
      <c r="JV111" s="28" t="e">
        <f>IF(JD118&lt;(MIN(JN118,JX109)),IZ117,IF(JN118&lt;(MIN(JD118,JX109)),JJ117,(IZ117+JJ117)/2))</f>
        <v>#DIV/0!</v>
      </c>
      <c r="JW111" s="28" t="s">
        <v>152</v>
      </c>
    </row>
    <row r="112" spans="1:497" s="28" customFormat="1" ht="18" x14ac:dyDescent="0.35">
      <c r="A112" s="85" t="s">
        <v>275</v>
      </c>
      <c r="B112" s="28">
        <f>IF((B38+G38)/2&gt;=B39,B39*0.98,(B38+G38)/2)</f>
        <v>0</v>
      </c>
      <c r="C112" s="28" t="s">
        <v>274</v>
      </c>
      <c r="E112" s="84" t="s">
        <v>212</v>
      </c>
      <c r="F112" s="88" t="e">
        <f>C19+B111+(F110*C18)+(1+D29)*(F111^2/64.4)</f>
        <v>#DIV/0!</v>
      </c>
      <c r="L112" s="84" t="s">
        <v>281</v>
      </c>
      <c r="M112" s="28" t="e">
        <f>IF((B111+O111)/2&gt;=B39,0.95*B39,(B111+O111)/2)</f>
        <v>#DIV/0!</v>
      </c>
      <c r="N112" s="86" t="s">
        <v>54</v>
      </c>
      <c r="P112" s="84" t="s">
        <v>471</v>
      </c>
      <c r="Q112" s="28" t="e">
        <f>(M111+M120)/2</f>
        <v>#DIV/0!</v>
      </c>
      <c r="U112" s="84" t="s">
        <v>291</v>
      </c>
      <c r="V112" s="28" t="e">
        <f>IF((M119+X111)/2&gt;=$B$39,0.98*$B$39,(M119+X111)/2)</f>
        <v>#DIV/0!</v>
      </c>
      <c r="Y112" s="84" t="s">
        <v>468</v>
      </c>
      <c r="Z112" s="28" t="e">
        <f>(V111+V120)/2</f>
        <v>#DIV/0!</v>
      </c>
      <c r="AE112" s="84" t="s">
        <v>296</v>
      </c>
      <c r="AF112" s="28" t="e">
        <f>IF((V119+AH111)/2&gt;=$B$39,0.98*$B$39,(V119+AH111)/2)</f>
        <v>#DIV/0!</v>
      </c>
      <c r="AI112" s="84" t="s">
        <v>468</v>
      </c>
      <c r="AJ112" s="28" t="e">
        <f>(AF111+AF120)/2</f>
        <v>#DIV/0!</v>
      </c>
      <c r="AO112" s="84" t="s">
        <v>300</v>
      </c>
      <c r="AP112" s="28" t="e">
        <f>IF((AF119+AR111)/2&gt;=$B$39,0.98*$B$39,(AF119+AR111)/2)</f>
        <v>#DIV/0!</v>
      </c>
      <c r="AS112" s="84" t="s">
        <v>468</v>
      </c>
      <c r="AT112" s="28" t="e">
        <f>(AP111+AP120)/2</f>
        <v>#DIV/0!</v>
      </c>
      <c r="AY112" s="84" t="s">
        <v>303</v>
      </c>
      <c r="AZ112" s="28" t="e">
        <f>IF((AP119+BB111)/2&gt;=$B$39,0.98*$B$39,(AP119+BB111)/2)</f>
        <v>#DIV/0!</v>
      </c>
      <c r="BC112" s="84" t="s">
        <v>468</v>
      </c>
      <c r="BD112" s="28" t="e">
        <f>(AZ111+AZ120)/2</f>
        <v>#DIV/0!</v>
      </c>
      <c r="BI112" s="84" t="s">
        <v>306</v>
      </c>
      <c r="BJ112" s="28" t="e">
        <f>IF((AZ119+BL111)/2&gt;=$B$39,0.98*$B$39,(AZ119+BL111)/2)</f>
        <v>#DIV/0!</v>
      </c>
      <c r="BM112" s="84" t="s">
        <v>468</v>
      </c>
      <c r="BN112" s="28" t="e">
        <f>(BJ111+BJ120)/2</f>
        <v>#DIV/0!</v>
      </c>
      <c r="BS112" s="84" t="s">
        <v>308</v>
      </c>
      <c r="BT112" s="28" t="e">
        <f>IF((BJ119+BV111)/2&gt;=$B$39,0.98*$B$39,(BJ119+BV111)/2)</f>
        <v>#DIV/0!</v>
      </c>
      <c r="BW112" s="84" t="s">
        <v>468</v>
      </c>
      <c r="BX112" s="28" t="e">
        <f>(BT111+BT120)/2</f>
        <v>#DIV/0!</v>
      </c>
      <c r="CC112" s="84" t="s">
        <v>311</v>
      </c>
      <c r="CD112" s="28" t="e">
        <f>IF((BT119+CF111)/2&gt;=$B$39,0.98*$B$39,(BT119+CF111)/2)</f>
        <v>#DIV/0!</v>
      </c>
      <c r="CG112" s="84" t="s">
        <v>468</v>
      </c>
      <c r="CH112" s="28" t="e">
        <f>(CD111+CD120)/2</f>
        <v>#DIV/0!</v>
      </c>
      <c r="CM112" s="84" t="s">
        <v>319</v>
      </c>
      <c r="CN112" s="28" t="e">
        <f>IF((CD119+CP111)/2&gt;=$B$39,0.98*$B$39,(CD119+CP111)/2)</f>
        <v>#DIV/0!</v>
      </c>
      <c r="CQ112" s="84" t="s">
        <v>468</v>
      </c>
      <c r="CR112" s="28" t="e">
        <f>(CN111+CN120)/2</f>
        <v>#DIV/0!</v>
      </c>
      <c r="CW112" s="84" t="s">
        <v>327</v>
      </c>
      <c r="CX112" s="28" t="e">
        <f>IF((CN119+CZ111)/2&gt;=$B$39,0.98*$B$39,(CN119+CZ111)/2)</f>
        <v>#DIV/0!</v>
      </c>
      <c r="DA112" s="84" t="s">
        <v>468</v>
      </c>
      <c r="DB112" s="28" t="e">
        <f>(CX111+CX120)/2</f>
        <v>#DIV/0!</v>
      </c>
      <c r="DG112" s="84" t="s">
        <v>335</v>
      </c>
      <c r="DH112" s="28" t="e">
        <f>IF((CX119+DJ111)/2&gt;=$B$39,0.98*$B$39,(CX119+DJ111)/2)</f>
        <v>#DIV/0!</v>
      </c>
      <c r="DK112" s="84" t="s">
        <v>468</v>
      </c>
      <c r="DL112" s="28" t="e">
        <f>(DH111+DH120)/2</f>
        <v>#DIV/0!</v>
      </c>
      <c r="DQ112" s="84" t="s">
        <v>343</v>
      </c>
      <c r="DR112" s="28" t="e">
        <f>IF((DH119+DT111)/2&gt;=$B$39,0.98*$B$39,(DH119+DT111)/2)</f>
        <v>#DIV/0!</v>
      </c>
      <c r="DU112" s="84" t="s">
        <v>468</v>
      </c>
      <c r="DV112" s="28" t="e">
        <f>(DR111+DR120)/2</f>
        <v>#DIV/0!</v>
      </c>
      <c r="EA112" s="84" t="s">
        <v>351</v>
      </c>
      <c r="EB112" s="28" t="e">
        <f>IF((DR119+ED111)/2&gt;=$B$39,0.98*$B$39,(DR119+ED111)/2)</f>
        <v>#DIV/0!</v>
      </c>
      <c r="EK112" s="84" t="s">
        <v>359</v>
      </c>
      <c r="EL112" s="28" t="e">
        <f>IF((EB119+EN111)/2&gt;=$B$39,0.98*$B$39,(EB119+EN111)/2)</f>
        <v>#DIV/0!</v>
      </c>
      <c r="EU112" s="84" t="s">
        <v>371</v>
      </c>
      <c r="EV112" s="28" t="e">
        <f>IF((EL119+EX111)/2&gt;=$B$39,0.98*$B$39,(EL119+EX111)/2)</f>
        <v>#DIV/0!</v>
      </c>
      <c r="FC112" s="84" t="s">
        <v>376</v>
      </c>
      <c r="FD112" s="28" t="e">
        <f>IF((EL119+FF111)/2&gt;=$B$39,0.98*$B$39,(EL119+FF111)/2)</f>
        <v>#DIV/0!</v>
      </c>
      <c r="FM112" s="84" t="s">
        <v>379</v>
      </c>
      <c r="FN112" s="28" t="e">
        <f>IF((EL119+FP111)/2&gt;=$B$39,0.98*$B$39,(EL119+FP111)/2)</f>
        <v>#DIV/0!</v>
      </c>
      <c r="FW112" s="84" t="s">
        <v>387</v>
      </c>
      <c r="FX112" s="28" t="e">
        <f>IF((FN119+FZ111)/2&gt;=$B$39,0.98*$B$39,(FN119+FZ111)/2)</f>
        <v>#DIV/0!</v>
      </c>
      <c r="GG112" s="84" t="s">
        <v>402</v>
      </c>
      <c r="GH112" s="28" t="e">
        <f>IF((FX119+GJ111)/2&gt;=$B$39,0.98*$B$39,(FX119+GJ111)/2)</f>
        <v>#DIV/0!</v>
      </c>
      <c r="GQ112" s="84" t="s">
        <v>403</v>
      </c>
      <c r="GR112" s="28" t="e">
        <f>IF((GH119+GT111)/2&gt;=$B$39,0.98*$B$39,(GH119+GT111)/2)</f>
        <v>#DIV/0!</v>
      </c>
      <c r="HA112" s="84" t="s">
        <v>411</v>
      </c>
      <c r="HB112" s="28" t="e">
        <f>IF((GR119+HD111)/2&gt;=$B$39,0.98*$B$39,(GR119+HD111)/2)</f>
        <v>#DIV/0!</v>
      </c>
      <c r="HK112" s="84" t="s">
        <v>419</v>
      </c>
      <c r="HL112" s="28" t="e">
        <f>IF((HB119+HN111)/2&gt;=$B$39,0.98*$B$39,(HB119+HN111)/2)</f>
        <v>#DIV/0!</v>
      </c>
      <c r="HU112" s="84" t="s">
        <v>473</v>
      </c>
      <c r="HV112" s="28" t="e">
        <f>IF((HL119+HX111)/2&gt;=$B$39,0.98*$B$39,(HL119+HX111)/2)</f>
        <v>#DIV/0!</v>
      </c>
      <c r="IE112" s="84" t="s">
        <v>482</v>
      </c>
      <c r="IF112" s="28" t="e">
        <f>IF((HV119+IH111)/2&gt;=$B$39,0.98*$B$39,(HV119+IH111)/2)</f>
        <v>#DIV/0!</v>
      </c>
      <c r="IO112" s="84" t="s">
        <v>493</v>
      </c>
      <c r="IP112" s="28" t="e">
        <f>IF((IF119+IR111)/2&gt;=$B$39,0.98*$B$39,(IF119+IR111)/2)</f>
        <v>#DIV/0!</v>
      </c>
      <c r="IY112" s="84" t="s">
        <v>503</v>
      </c>
      <c r="IZ112" s="28" t="e">
        <f>IF((IP119+JB111)/2&gt;=$B$39,0.98*$B$39,(IP119+JB111)/2)</f>
        <v>#DIV/0!</v>
      </c>
      <c r="JI112" s="84" t="s">
        <v>503</v>
      </c>
      <c r="JJ112" s="28" t="e">
        <f>IF((IZ119+JL111)/2&gt;=$B$39,0.98*$B$39,(IZ119+JL111)/2)</f>
        <v>#DIV/0!</v>
      </c>
    </row>
    <row r="113" spans="1:275" s="28" customFormat="1" x14ac:dyDescent="0.25">
      <c r="A113" s="28" t="s">
        <v>64</v>
      </c>
      <c r="B113" s="28" t="e">
        <f>B39^2/8*(2*ACOS(1-(2*B112/B39))-SIN(2*ACOS(1-(2*B112/B39))))</f>
        <v>#DIV/0!</v>
      </c>
      <c r="E113" s="84" t="s">
        <v>215</v>
      </c>
      <c r="F113" s="86" t="e">
        <f>ABS(C15-F112)</f>
        <v>#DIV/0!</v>
      </c>
      <c r="L113" s="84" t="s">
        <v>208</v>
      </c>
      <c r="M113" s="28" t="e">
        <f>B39^2/8*(2*ACOS(1-(2*M112/B39))-SIN(2*ACOS(1-(2*M112/B39))))</f>
        <v>#DIV/0!</v>
      </c>
      <c r="N113" s="86" t="s">
        <v>284</v>
      </c>
      <c r="P113" s="84" t="s">
        <v>286</v>
      </c>
      <c r="Q113" s="28" t="e">
        <f>IF(Q112&gt;$C$15,F110,F116)</f>
        <v>#DIV/0!</v>
      </c>
      <c r="R113" s="86" t="s">
        <v>269</v>
      </c>
      <c r="U113" s="84" t="s">
        <v>248</v>
      </c>
      <c r="V113" s="28" t="e">
        <f>B39^2/8*(2*ACOS(1-(2*V112/B39))-SIN(2*ACOS(1-(2*V112/B39))))</f>
        <v>#DIV/0!</v>
      </c>
      <c r="Y113" s="84" t="s">
        <v>286</v>
      </c>
      <c r="Z113" s="28" t="e">
        <f>IF(Z112&gt;$C$15,Q115,Q113)</f>
        <v>#DIV/0!</v>
      </c>
      <c r="AE113" s="84" t="s">
        <v>251</v>
      </c>
      <c r="AF113" s="28" t="e">
        <f>$B$39^2/8*(2*ACOS(1-(2*AF112/$B$39))-SIN(2*ACOS(1-(2*AF112/$B$39))))</f>
        <v>#DIV/0!</v>
      </c>
      <c r="AI113" s="84" t="s">
        <v>286</v>
      </c>
      <c r="AJ113" s="28" t="e">
        <f>IF(AJ112&gt;$C$15,Z115,Z113)</f>
        <v>#DIV/0!</v>
      </c>
      <c r="AO113" s="84" t="s">
        <v>254</v>
      </c>
      <c r="AP113" s="28" t="e">
        <f>$B$39^2/8*(2*ACOS(1-(2*AP112/$B$39))-SIN(2*ACOS(1-(2*AP112/$B$39))))</f>
        <v>#DIV/0!</v>
      </c>
      <c r="AS113" s="84" t="s">
        <v>286</v>
      </c>
      <c r="AT113" s="28" t="e">
        <f>IF(AT112&gt;$C$15,AJ115,AJ113)</f>
        <v>#DIV/0!</v>
      </c>
      <c r="AY113" s="84" t="s">
        <v>257</v>
      </c>
      <c r="AZ113" s="28" t="e">
        <f>$B$39^2/8*(2*ACOS(1-(2*AZ112/$B$39))-SIN(2*ACOS(1-(2*AZ112/$B$39))))</f>
        <v>#DIV/0!</v>
      </c>
      <c r="BC113" s="84" t="s">
        <v>286</v>
      </c>
      <c r="BD113" s="28" t="e">
        <f>IF(BD112&gt;$C$15,AT115,AT113)</f>
        <v>#DIV/0!</v>
      </c>
      <c r="BE113" s="89"/>
      <c r="BI113" s="84" t="s">
        <v>260</v>
      </c>
      <c r="BJ113" s="28" t="e">
        <f>$B$39^2/8*(2*ACOS(1-(2*BJ112/$B$39))-SIN(2*ACOS(1-(2*BJ112/$B$39))))</f>
        <v>#DIV/0!</v>
      </c>
      <c r="BM113" s="84" t="s">
        <v>286</v>
      </c>
      <c r="BN113" s="28" t="e">
        <f>IF(BN112&gt;$C$15,BD115,BD113)</f>
        <v>#DIV/0!</v>
      </c>
      <c r="BO113" s="89"/>
      <c r="BS113" s="84" t="s">
        <v>264</v>
      </c>
      <c r="BT113" s="28" t="e">
        <f>$B$39^2/8*(2*ACOS(1-(2*BT112/$B$39))-SIN(2*ACOS(1-(2*BT112/$B$39))))</f>
        <v>#DIV/0!</v>
      </c>
      <c r="BW113" s="84" t="s">
        <v>286</v>
      </c>
      <c r="BX113" s="28" t="e">
        <f>IF(BX112&gt;$C$15,BN115,BN113)</f>
        <v>#DIV/0!</v>
      </c>
      <c r="BY113" s="89"/>
      <c r="CC113" s="84" t="s">
        <v>312</v>
      </c>
      <c r="CD113" s="28" t="e">
        <f>$B$39^2/8*(2*ACOS(1-(2*CD112/$B$39))-SIN(2*ACOS(1-(2*CD112/$B$39))))</f>
        <v>#DIV/0!</v>
      </c>
      <c r="CG113" s="84" t="s">
        <v>286</v>
      </c>
      <c r="CH113" s="28" t="e">
        <f>IF(CD120&gt;$C$15,BX115,IF((BX113-BX114)&lt;0.0005,BX113*1.1,BX113))</f>
        <v>#DIV/0!</v>
      </c>
      <c r="CI113" s="89"/>
      <c r="CM113" s="84" t="s">
        <v>320</v>
      </c>
      <c r="CN113" s="28" t="e">
        <f>$B$39^2/8*(2*ACOS(1-(2*CN112/$B$39))-SIN(2*ACOS(1-(2*CN112/$B$39))))</f>
        <v>#DIV/0!</v>
      </c>
      <c r="CQ113" s="84" t="s">
        <v>286</v>
      </c>
      <c r="CR113" s="28" t="e">
        <f>IF(CN120&gt;$C$15,CH115,IF((CH113-CH114)&lt;0.0005,CH113*1.1,CH113))</f>
        <v>#DIV/0!</v>
      </c>
      <c r="CS113" s="89"/>
      <c r="CW113" s="84" t="s">
        <v>328</v>
      </c>
      <c r="CX113" s="28" t="e">
        <f>$B$39^2/8*(2*ACOS(1-(2*CX112/$B$39))-SIN(2*ACOS(1-(2*CX112/$B$39))))</f>
        <v>#DIV/0!</v>
      </c>
      <c r="DA113" s="84" t="s">
        <v>286</v>
      </c>
      <c r="DB113" s="28" t="e">
        <f>IF(CX120&gt;$C$15,CR115,IF((CR113-CR114)&lt;0.0005,CR113*1.1,CR113))</f>
        <v>#DIV/0!</v>
      </c>
      <c r="DC113" s="89"/>
      <c r="DG113" s="84" t="s">
        <v>336</v>
      </c>
      <c r="DH113" s="28" t="e">
        <f>$B$39^2/8*(2*ACOS(1-(2*DH112/$B$39))-SIN(2*ACOS(1-(2*DH112/$B$39))))</f>
        <v>#DIV/0!</v>
      </c>
      <c r="DK113" s="84" t="s">
        <v>286</v>
      </c>
      <c r="DL113" s="28" t="e">
        <f>IF(DH120&gt;$C$15,DB115,IF((DB113-DB114)&lt;0.0005,DB113*1.1,DB113))</f>
        <v>#DIV/0!</v>
      </c>
      <c r="DM113" s="89"/>
      <c r="DQ113" s="84" t="s">
        <v>344</v>
      </c>
      <c r="DR113" s="28" t="e">
        <f>$B$39^2/8*(2*ACOS(1-(2*DR112/$B$39))-SIN(2*ACOS(1-(2*DR112/$B$39))))</f>
        <v>#DIV/0!</v>
      </c>
      <c r="DU113" s="84" t="s">
        <v>286</v>
      </c>
      <c r="DV113" s="28" t="e">
        <f>IF(DR120&gt;$C$15,DL115,IF((DL113-DL114)&lt;0.0005,DL113*1.1,DL113))</f>
        <v>#DIV/0!</v>
      </c>
      <c r="DW113" s="89"/>
      <c r="EA113" s="84" t="s">
        <v>352</v>
      </c>
      <c r="EB113" s="28" t="e">
        <f>$B$39^2/8*(2*ACOS(1-(2*EB112/$B$39))-SIN(2*ACOS(1-(2*EB112/$B$39))))</f>
        <v>#DIV/0!</v>
      </c>
      <c r="EE113" s="84" t="s">
        <v>286</v>
      </c>
      <c r="EF113" s="28" t="e">
        <f>IF(EB120&gt;$C$15,DV115,IF((DV113-DV114)&lt;0.0005,DV113*1.1,DV113))</f>
        <v>#DIV/0!</v>
      </c>
      <c r="EK113" s="84" t="s">
        <v>360</v>
      </c>
      <c r="EL113" s="28" t="e">
        <f>$B$39^2/8*(2*ACOS(1-(2*EL112/$B$39))-SIN(2*ACOS(1-(2*EL112/$B$39))))</f>
        <v>#DIV/0!</v>
      </c>
      <c r="EO113" s="84" t="s">
        <v>286</v>
      </c>
      <c r="EP113" s="28" t="e">
        <f>IF(EL120&gt;$C$15,EF115,IF((EF113-EF114)&lt;0.0005,EF113*1.1,EF113))</f>
        <v>#DIV/0!</v>
      </c>
      <c r="EU113" s="84" t="s">
        <v>372</v>
      </c>
      <c r="EV113" s="28" t="e">
        <f>$B$39^2/8*(2*ACOS(1-(2*EV112/$B$39))-SIN(2*ACOS(1-(2*EV112/$B$39))))</f>
        <v>#DIV/0!</v>
      </c>
      <c r="FC113" s="84" t="s">
        <v>372</v>
      </c>
      <c r="FD113" s="28" t="e">
        <f>$B$39^2/8*(2*ACOS(1-(2*FD112/$B$39))-SIN(2*ACOS(1-(2*FD112/$B$39))))</f>
        <v>#DIV/0!</v>
      </c>
      <c r="FG113" s="84" t="s">
        <v>286</v>
      </c>
      <c r="FH113" s="28" t="e">
        <f>IF(EV120&gt;=$C$15,EP113,EP113*1.05)</f>
        <v>#DIV/0!</v>
      </c>
      <c r="FM113" s="84" t="s">
        <v>380</v>
      </c>
      <c r="FN113" s="28" t="e">
        <f>$B$39^2/8*(2*ACOS(1-(2*FN112/$B$39))-SIN(2*ACOS(1-(2*FN112/$B$39))))</f>
        <v>#DIV/0!</v>
      </c>
      <c r="FQ113" s="84" t="s">
        <v>286</v>
      </c>
      <c r="FR113" s="28" t="e">
        <f>IF(FN120&gt;$C$15,(FH115+FH113)/2,FH113)</f>
        <v>#DIV/0!</v>
      </c>
      <c r="FW113" s="84" t="s">
        <v>388</v>
      </c>
      <c r="FX113" s="28" t="e">
        <f>$B$39^2/8*(2*ACOS(1-(2*FX112/$B$39))-SIN(2*ACOS(1-(2*FX112/$B$39))))</f>
        <v>#DIV/0!</v>
      </c>
      <c r="GA113" s="84" t="s">
        <v>286</v>
      </c>
      <c r="GB113" s="28" t="e">
        <f>IF(FX120&gt;$C$15,(FR115+FR113)/2,FR113)</f>
        <v>#DIV/0!</v>
      </c>
      <c r="GG113" s="84" t="s">
        <v>395</v>
      </c>
      <c r="GH113" s="28" t="e">
        <f>$B$39^2/8*(2*ACOS(1-(2*GH112/$B$39))-SIN(2*ACOS(1-(2*GH112/$B$39))))</f>
        <v>#DIV/0!</v>
      </c>
      <c r="GK113" s="84" t="s">
        <v>286</v>
      </c>
      <c r="GL113" s="28" t="e">
        <f>IF(GH120&gt;$C$15,(GB115+GB113)/2,GB113)</f>
        <v>#DIV/0!</v>
      </c>
      <c r="GQ113" s="84" t="s">
        <v>404</v>
      </c>
      <c r="GR113" s="28" t="e">
        <f>$B$39^2/8*(2*ACOS(1-(2*GR112/$B$39))-SIN(2*ACOS(1-(2*GR112/$B$39))))</f>
        <v>#DIV/0!</v>
      </c>
      <c r="GU113" s="84" t="s">
        <v>286</v>
      </c>
      <c r="GV113" s="28" t="e">
        <f>IF(GR120&gt;$C$15,GL115,GL113)</f>
        <v>#DIV/0!</v>
      </c>
      <c r="HA113" s="84" t="s">
        <v>412</v>
      </c>
      <c r="HB113" s="28" t="e">
        <f>$B$39^2/8*(2*ACOS(1-(2*HB112/$B$39))-SIN(2*ACOS(1-(2*HB112/$B$39))))</f>
        <v>#DIV/0!</v>
      </c>
      <c r="HE113" s="84" t="s">
        <v>286</v>
      </c>
      <c r="HF113" s="28" t="e">
        <f>IF(HB120&gt;$C$15,GV115,GV113)</f>
        <v>#DIV/0!</v>
      </c>
      <c r="HK113" s="84" t="s">
        <v>420</v>
      </c>
      <c r="HL113" s="28" t="e">
        <f>$B$39^2/8*(2*ACOS(1-(2*HL112/$B$39))-SIN(2*ACOS(1-(2*HL112/$B$39))))</f>
        <v>#DIV/0!</v>
      </c>
      <c r="HO113" s="84" t="s">
        <v>286</v>
      </c>
      <c r="HP113" s="28" t="e">
        <f>IF(HL120&gt;$C$15,HF115,HF113)</f>
        <v>#DIV/0!</v>
      </c>
      <c r="HU113" s="84" t="s">
        <v>474</v>
      </c>
      <c r="HV113" s="28" t="e">
        <f>$B$39^2/8*(2*ACOS(1-(2*HV112/$B$39))-SIN(2*ACOS(1-(2*HV112/$B$39))))</f>
        <v>#DIV/0!</v>
      </c>
      <c r="HY113" s="84" t="s">
        <v>286</v>
      </c>
      <c r="HZ113" s="28" t="e">
        <f>IF(HV120&gt;$C$15,HP115,HP113)</f>
        <v>#DIV/0!</v>
      </c>
      <c r="IE113" s="84" t="s">
        <v>483</v>
      </c>
      <c r="IF113" s="28" t="e">
        <f>$B$39^2/8*(2*ACOS(1-(2*IF112/$B$39))-SIN(2*ACOS(1-(2*IF112/$B$39))))</f>
        <v>#DIV/0!</v>
      </c>
      <c r="II113" s="84" t="s">
        <v>286</v>
      </c>
      <c r="IJ113" s="28" t="e">
        <f>IF(IF120&gt;$C$15,HZ115,HZ113)</f>
        <v>#DIV/0!</v>
      </c>
      <c r="IO113" s="84" t="s">
        <v>494</v>
      </c>
      <c r="IP113" s="28" t="e">
        <f>$B$39^2/8*(2*ACOS(1-(2*IP112/$B$39))-SIN(2*ACOS(1-(2*IP112/$B$39))))</f>
        <v>#DIV/0!</v>
      </c>
      <c r="IS113" s="84" t="s">
        <v>286</v>
      </c>
      <c r="IT113" s="28" t="e">
        <f>IF(IP120&gt;$C$15,IJ115,IJ113)</f>
        <v>#DIV/0!</v>
      </c>
      <c r="IY113" s="84" t="s">
        <v>504</v>
      </c>
      <c r="IZ113" s="28" t="e">
        <f>$B$39^2/8*(2*ACOS(1-(2*IZ112/$B$39))-SIN(2*ACOS(1-(2*IZ112/$B$39))))</f>
        <v>#DIV/0!</v>
      </c>
      <c r="JC113" s="84" t="s">
        <v>286</v>
      </c>
      <c r="JD113" s="28" t="e">
        <f>IF(IZ120&gt;$C$15,IF((IT113-IT114)&lt;0.00011,IT113*0.99,IT113),1.01*IT113)</f>
        <v>#DIV/0!</v>
      </c>
      <c r="JI113" s="84" t="s">
        <v>504</v>
      </c>
      <c r="JJ113" s="28" t="e">
        <f>$B$39^2/8*(2*ACOS(1-(2*JJ112/$B$39))-SIN(2*ACOS(1-(2*JJ112/$B$39))))</f>
        <v>#DIV/0!</v>
      </c>
      <c r="JM113" s="84" t="s">
        <v>286</v>
      </c>
      <c r="JN113" s="28" t="e">
        <f>IF(JJ120&gt;$C$15,JD115,JD113)</f>
        <v>#DIV/0!</v>
      </c>
    </row>
    <row r="114" spans="1:275" s="28" customFormat="1" x14ac:dyDescent="0.25">
      <c r="A114" s="28" t="s">
        <v>65</v>
      </c>
      <c r="B114" s="28" t="e">
        <f>B39*ACOS(1-(2*B112)/B39)</f>
        <v>#DIV/0!</v>
      </c>
      <c r="E114" s="87" t="e">
        <f>B40</f>
        <v>#DIV/0!</v>
      </c>
      <c r="F114" s="86" t="s">
        <v>237</v>
      </c>
      <c r="L114" s="84" t="s">
        <v>209</v>
      </c>
      <c r="M114" s="28" t="e">
        <f>B39*ACOS(1-(2*M112)/B39)</f>
        <v>#DIV/0!</v>
      </c>
      <c r="N114" s="28" t="s">
        <v>54</v>
      </c>
      <c r="P114" s="84" t="s">
        <v>268</v>
      </c>
      <c r="Q114" s="28" t="e">
        <f>IF(Q112&lt;=$C$15,F110,F117)</f>
        <v>#DIV/0!</v>
      </c>
      <c r="R114" s="28" t="s">
        <v>29</v>
      </c>
      <c r="U114" s="84" t="s">
        <v>249</v>
      </c>
      <c r="V114" s="28" t="e">
        <f>B39*ACOS(1-(2*V112)/B39)</f>
        <v>#DIV/0!</v>
      </c>
      <c r="Y114" s="84" t="s">
        <v>268</v>
      </c>
      <c r="Z114" s="28" t="e">
        <f>IF(Z112&lt;=$C$15,Q115,Q114)</f>
        <v>#DIV/0!</v>
      </c>
      <c r="AE114" s="84" t="s">
        <v>252</v>
      </c>
      <c r="AF114" s="28" t="e">
        <f>$B$39*ACOS(1-(2*AF112)/$B$39)</f>
        <v>#DIV/0!</v>
      </c>
      <c r="AI114" s="84" t="s">
        <v>268</v>
      </c>
      <c r="AJ114" s="28" t="e">
        <f>IF(AJ112&lt;=$C$15,Z115,Z114)</f>
        <v>#DIV/0!</v>
      </c>
      <c r="AO114" s="84" t="s">
        <v>256</v>
      </c>
      <c r="AP114" s="28" t="e">
        <f>$B$39*ACOS(1-(2*AP112)/$B$39)</f>
        <v>#DIV/0!</v>
      </c>
      <c r="AS114" s="84" t="s">
        <v>268</v>
      </c>
      <c r="AT114" s="28" t="e">
        <f>IF(AT112&lt;=$C$15,AJ115,AJ114)</f>
        <v>#DIV/0!</v>
      </c>
      <c r="AY114" s="84" t="s">
        <v>258</v>
      </c>
      <c r="AZ114" s="28" t="e">
        <f>$B$39*ACOS(1-(2*AZ112)/$B$39)</f>
        <v>#DIV/0!</v>
      </c>
      <c r="BC114" s="84" t="s">
        <v>268</v>
      </c>
      <c r="BD114" s="28" t="e">
        <f>IF(BD112&lt;=$C$15,AT115,AT114)</f>
        <v>#DIV/0!</v>
      </c>
      <c r="BI114" s="84" t="s">
        <v>261</v>
      </c>
      <c r="BJ114" s="28" t="e">
        <f>$B$39*ACOS(1-(2*BJ112)/$B$39)</f>
        <v>#DIV/0!</v>
      </c>
      <c r="BM114" s="84" t="s">
        <v>268</v>
      </c>
      <c r="BN114" s="28" t="e">
        <f>IF(BN112&lt;=$C$15,BD115,BD114)</f>
        <v>#DIV/0!</v>
      </c>
      <c r="BS114" s="84" t="s">
        <v>265</v>
      </c>
      <c r="BT114" s="28" t="e">
        <f>$B$39*ACOS(1-(2*BT112)/$B$39)</f>
        <v>#DIV/0!</v>
      </c>
      <c r="BW114" s="84" t="s">
        <v>268</v>
      </c>
      <c r="BX114" s="28" t="e">
        <f>IF(BX112&lt;=$C$15,BN115,BN114)</f>
        <v>#DIV/0!</v>
      </c>
      <c r="CC114" s="84" t="s">
        <v>313</v>
      </c>
      <c r="CD114" s="28" t="e">
        <f>$B$39*ACOS(1-(2*CD112)/$B$39)</f>
        <v>#DIV/0!</v>
      </c>
      <c r="CG114" s="84" t="s">
        <v>268</v>
      </c>
      <c r="CH114" s="28" t="e">
        <f>IF(CD120&lt;=$C$15,BX114,IF((BX113-BX114)&lt;0.0005,BX114*0.9,BX114))</f>
        <v>#DIV/0!</v>
      </c>
      <c r="CM114" s="84" t="s">
        <v>321</v>
      </c>
      <c r="CN114" s="28" t="e">
        <f>$B$39*ACOS(1-(2*CN112)/$B$39)</f>
        <v>#DIV/0!</v>
      </c>
      <c r="CQ114" s="84" t="s">
        <v>268</v>
      </c>
      <c r="CR114" s="28" t="e">
        <f>IF(CN120&lt;=$C$15,CH114,IF((CH113-CH114)&lt;0.0005,CH114*0.9,CH114))</f>
        <v>#DIV/0!</v>
      </c>
      <c r="CW114" s="84" t="s">
        <v>329</v>
      </c>
      <c r="CX114" s="28" t="e">
        <f>$B$39*ACOS(1-(2*CX112)/$B$39)</f>
        <v>#DIV/0!</v>
      </c>
      <c r="DA114" s="84" t="s">
        <v>268</v>
      </c>
      <c r="DB114" s="28" t="e">
        <f>IF(CX120&lt;=$C$15,CR114,IF((CR113-CR114)&lt;0.0005,CR114*0.9,CR114))</f>
        <v>#DIV/0!</v>
      </c>
      <c r="DG114" s="84" t="s">
        <v>337</v>
      </c>
      <c r="DH114" s="28" t="e">
        <f>$B$39*ACOS(1-(2*DH112)/$B$39)</f>
        <v>#DIV/0!</v>
      </c>
      <c r="DK114" s="84" t="s">
        <v>268</v>
      </c>
      <c r="DL114" s="28" t="e">
        <f>IF(DH120&lt;=$C$15,DB114,IF((DB113-DB114)&lt;0.0005,DB114*0.9,DB114))</f>
        <v>#DIV/0!</v>
      </c>
      <c r="DQ114" s="84" t="s">
        <v>345</v>
      </c>
      <c r="DR114" s="28" t="e">
        <f>$B$39*ACOS(1-(2*DR112)/$B$39)</f>
        <v>#DIV/0!</v>
      </c>
      <c r="DU114" s="84" t="s">
        <v>268</v>
      </c>
      <c r="DV114" s="28" t="e">
        <f>IF(DR120&lt;=$C$15,DL114,IF((DL113-DL114)&lt;0.0005,DL114*0.9,DL114))</f>
        <v>#DIV/0!</v>
      </c>
      <c r="EA114" s="84" t="s">
        <v>353</v>
      </c>
      <c r="EB114" s="28" t="e">
        <f>$B$39*ACOS(1-(2*EB112)/$B$39)</f>
        <v>#DIV/0!</v>
      </c>
      <c r="EE114" s="84" t="s">
        <v>268</v>
      </c>
      <c r="EF114" s="28" t="e">
        <f>IF(EB120&lt;=$C$15,DV114,IF((DV113-DV114)&lt;0.0005,DV114*0.9,DV114))</f>
        <v>#DIV/0!</v>
      </c>
      <c r="EK114" s="84" t="s">
        <v>361</v>
      </c>
      <c r="EL114" s="28" t="e">
        <f>$B$39*ACOS(1-(2*EL112)/$B$39)</f>
        <v>#DIV/0!</v>
      </c>
      <c r="EO114" s="84" t="s">
        <v>268</v>
      </c>
      <c r="EP114" s="28" t="e">
        <f>IF(EL120&lt;=$C$15,EF114,IF((EF113-EF114)&lt;0.0005,EF114*0.9,EF114))</f>
        <v>#DIV/0!</v>
      </c>
      <c r="EU114" s="84" t="s">
        <v>373</v>
      </c>
      <c r="EV114" s="28" t="e">
        <f>$B$39*ACOS(1-(2*EV112)/$B$39)</f>
        <v>#DIV/0!</v>
      </c>
      <c r="FC114" s="84" t="s">
        <v>377</v>
      </c>
      <c r="FD114" s="28" t="e">
        <f>$B$39*ACOS(1-(2*FD112)/$B$39)</f>
        <v>#DIV/0!</v>
      </c>
      <c r="FG114" s="84" t="s">
        <v>268</v>
      </c>
      <c r="FH114" s="28" t="e">
        <f>IF(FD120&lt;=$C$15,EP114,EP114*0.95)</f>
        <v>#DIV/0!</v>
      </c>
      <c r="FM114" s="84" t="s">
        <v>381</v>
      </c>
      <c r="FN114" s="28" t="e">
        <f>$B$39*ACOS(1-(2*FN112)/$B$39)</f>
        <v>#DIV/0!</v>
      </c>
      <c r="FQ114" s="84" t="s">
        <v>268</v>
      </c>
      <c r="FR114" s="28" t="e">
        <f>IF(FN120&lt;=$C$15,(FH115+FH114)/2,FH114)</f>
        <v>#DIV/0!</v>
      </c>
      <c r="FW114" s="84" t="s">
        <v>389</v>
      </c>
      <c r="FX114" s="28" t="e">
        <f>$B$39*ACOS(1-(2*FX112)/$B$39)</f>
        <v>#DIV/0!</v>
      </c>
      <c r="GA114" s="84" t="s">
        <v>268</v>
      </c>
      <c r="GB114" s="28" t="e">
        <f>IF(FX120&lt;=$C$15,(FR115+FR114)/2,FR114)</f>
        <v>#DIV/0!</v>
      </c>
      <c r="GG114" s="84" t="s">
        <v>396</v>
      </c>
      <c r="GH114" s="28" t="e">
        <f>$B$39*ACOS(1-(2*GH112)/$B$39)</f>
        <v>#DIV/0!</v>
      </c>
      <c r="GK114" s="84" t="s">
        <v>268</v>
      </c>
      <c r="GL114" s="28" t="e">
        <f>IF(GH120&lt;=$C$15,(GB115+GB114)/2,GB114)</f>
        <v>#DIV/0!</v>
      </c>
      <c r="GQ114" s="84" t="s">
        <v>405</v>
      </c>
      <c r="GR114" s="28" t="e">
        <f>$B$39*ACOS(1-(2*GR112)/$B$39)</f>
        <v>#DIV/0!</v>
      </c>
      <c r="GU114" s="84" t="s">
        <v>268</v>
      </c>
      <c r="GV114" s="28" t="e">
        <f>IF(GR120&lt;=$C$15,GL115,GL114)</f>
        <v>#DIV/0!</v>
      </c>
      <c r="HA114" s="84" t="s">
        <v>413</v>
      </c>
      <c r="HB114" s="28" t="e">
        <f>$B$39*ACOS(1-(2*HB112)/$B$39)</f>
        <v>#DIV/0!</v>
      </c>
      <c r="HE114" s="84" t="s">
        <v>268</v>
      </c>
      <c r="HF114" s="28" t="e">
        <f>IF(HB120&lt;=$C$15,GV115,GV114)</f>
        <v>#DIV/0!</v>
      </c>
      <c r="HK114" s="84" t="s">
        <v>421</v>
      </c>
      <c r="HL114" s="28" t="e">
        <f>$B$39*ACOS(1-(2*HL112)/$B$39)</f>
        <v>#DIV/0!</v>
      </c>
      <c r="HO114" s="84" t="s">
        <v>268</v>
      </c>
      <c r="HP114" s="28" t="e">
        <f>IF(HL120&lt;=$C$15,HF115,HF114)</f>
        <v>#DIV/0!</v>
      </c>
      <c r="HU114" s="84" t="s">
        <v>475</v>
      </c>
      <c r="HV114" s="28" t="e">
        <f>$B$39*ACOS(1-(2*HV112)/$B$39)</f>
        <v>#DIV/0!</v>
      </c>
      <c r="HY114" s="84" t="s">
        <v>268</v>
      </c>
      <c r="HZ114" s="28" t="e">
        <f>IF(HV120&lt;=$C$15,HP115,HP114)</f>
        <v>#DIV/0!</v>
      </c>
      <c r="IE114" s="84" t="s">
        <v>484</v>
      </c>
      <c r="IF114" s="28" t="e">
        <f>$B$39*ACOS(1-(2*IF112)/$B$39)</f>
        <v>#DIV/0!</v>
      </c>
      <c r="II114" s="84" t="s">
        <v>268</v>
      </c>
      <c r="IJ114" s="28" t="e">
        <f>IF(IF120&lt;=$C$15,HZ115,HZ114)</f>
        <v>#DIV/0!</v>
      </c>
      <c r="IO114" s="84" t="s">
        <v>495</v>
      </c>
      <c r="IP114" s="28" t="e">
        <f>$B$39*ACOS(1-(2*IP112)/$B$39)</f>
        <v>#DIV/0!</v>
      </c>
      <c r="IS114" s="84" t="s">
        <v>268</v>
      </c>
      <c r="IT114" s="28" t="e">
        <f>IF(IP120&lt;=$C$15,IJ115,IJ114)</f>
        <v>#DIV/0!</v>
      </c>
      <c r="IY114" s="84" t="s">
        <v>505</v>
      </c>
      <c r="IZ114" s="28" t="e">
        <f>$B$39*ACOS(1-(2*IZ112)/$B$39)</f>
        <v>#DIV/0!</v>
      </c>
      <c r="JC114" s="84" t="s">
        <v>268</v>
      </c>
      <c r="JD114" s="28" t="e">
        <f>IF(IZ120&lt;$C$15,IF((IT113-IT114)&lt;0.0001,IT114*1.01,IT114),0.99*IT114)</f>
        <v>#DIV/0!</v>
      </c>
      <c r="JI114" s="84" t="s">
        <v>505</v>
      </c>
      <c r="JJ114" s="28" t="e">
        <f>$B$39*ACOS(1-(2*JJ112)/$B$39)</f>
        <v>#DIV/0!</v>
      </c>
      <c r="JM114" s="84" t="s">
        <v>268</v>
      </c>
      <c r="JN114" s="28" t="e">
        <f>IF(JJ120&lt;=$C$15,JD115,JD114)</f>
        <v>#DIV/0!</v>
      </c>
    </row>
    <row r="115" spans="1:275" s="28" customFormat="1" x14ac:dyDescent="0.25">
      <c r="A115" s="28" t="s">
        <v>66</v>
      </c>
      <c r="B115" s="28" t="e">
        <f>B113/B114</f>
        <v>#DIV/0!</v>
      </c>
      <c r="E115" s="28" t="e">
        <f>(C15-C20)/C18</f>
        <v>#DIV/0!</v>
      </c>
      <c r="F115" s="28" t="s">
        <v>238</v>
      </c>
      <c r="L115" s="84" t="s">
        <v>210</v>
      </c>
      <c r="M115" s="28" t="e">
        <f>M113/M114</f>
        <v>#DIV/0!</v>
      </c>
      <c r="N115" s="28" t="s">
        <v>54</v>
      </c>
      <c r="P115" s="84" t="s">
        <v>287</v>
      </c>
      <c r="Q115" s="28" t="e">
        <f>(Q113+Q114)/2</f>
        <v>#DIV/0!</v>
      </c>
      <c r="R115" s="28" t="s">
        <v>29</v>
      </c>
      <c r="U115" s="84" t="s">
        <v>250</v>
      </c>
      <c r="V115" s="28" t="e">
        <f>V113/V114</f>
        <v>#DIV/0!</v>
      </c>
      <c r="Y115" s="84" t="s">
        <v>287</v>
      </c>
      <c r="Z115" s="28" t="e">
        <f>(Z113+Z114)/2</f>
        <v>#DIV/0!</v>
      </c>
      <c r="AE115" s="84" t="s">
        <v>253</v>
      </c>
      <c r="AF115" s="28" t="e">
        <f>AF113/AF114</f>
        <v>#DIV/0!</v>
      </c>
      <c r="AI115" s="84" t="s">
        <v>287</v>
      </c>
      <c r="AJ115" s="28" t="e">
        <f>(AJ113+AJ114)/2</f>
        <v>#DIV/0!</v>
      </c>
      <c r="AO115" s="84" t="s">
        <v>255</v>
      </c>
      <c r="AP115" s="28" t="e">
        <f>AP113/AP114</f>
        <v>#DIV/0!</v>
      </c>
      <c r="AS115" s="84" t="s">
        <v>287</v>
      </c>
      <c r="AT115" s="28" t="e">
        <f>(AT113+AT114)/2</f>
        <v>#DIV/0!</v>
      </c>
      <c r="AY115" s="84" t="s">
        <v>259</v>
      </c>
      <c r="AZ115" s="28" t="e">
        <f>AZ113/AZ114</f>
        <v>#DIV/0!</v>
      </c>
      <c r="BC115" s="84" t="s">
        <v>287</v>
      </c>
      <c r="BD115" s="28" t="e">
        <f>(BD113+BD114)/2</f>
        <v>#DIV/0!</v>
      </c>
      <c r="BI115" s="84" t="s">
        <v>262</v>
      </c>
      <c r="BJ115" s="28" t="e">
        <f>BJ113/BJ114</f>
        <v>#DIV/0!</v>
      </c>
      <c r="BM115" s="84" t="s">
        <v>287</v>
      </c>
      <c r="BN115" s="28" t="e">
        <f>(BN113+BN114)/2</f>
        <v>#DIV/0!</v>
      </c>
      <c r="BS115" s="84" t="s">
        <v>266</v>
      </c>
      <c r="BT115" s="28" t="e">
        <f>BT113/BT114</f>
        <v>#DIV/0!</v>
      </c>
      <c r="BW115" s="84" t="s">
        <v>287</v>
      </c>
      <c r="BX115" s="28" t="e">
        <f>(BX113+BX114)/2</f>
        <v>#DIV/0!</v>
      </c>
      <c r="CC115" s="84" t="s">
        <v>314</v>
      </c>
      <c r="CD115" s="28" t="e">
        <f>CD113/CD114</f>
        <v>#DIV/0!</v>
      </c>
      <c r="CG115" s="84" t="s">
        <v>287</v>
      </c>
      <c r="CH115" s="28" t="e">
        <f>(CH113+CH114)/2</f>
        <v>#DIV/0!</v>
      </c>
      <c r="CM115" s="84" t="s">
        <v>322</v>
      </c>
      <c r="CN115" s="28" t="e">
        <f>CN113/CN114</f>
        <v>#DIV/0!</v>
      </c>
      <c r="CQ115" s="84" t="s">
        <v>287</v>
      </c>
      <c r="CR115" s="28" t="e">
        <f>(CR113+CR114)/2</f>
        <v>#DIV/0!</v>
      </c>
      <c r="CW115" s="84" t="s">
        <v>330</v>
      </c>
      <c r="CX115" s="28" t="e">
        <f>CX113/CX114</f>
        <v>#DIV/0!</v>
      </c>
      <c r="DA115" s="84" t="s">
        <v>287</v>
      </c>
      <c r="DB115" s="28" t="e">
        <f>(DB113+DB114)/2</f>
        <v>#DIV/0!</v>
      </c>
      <c r="DG115" s="84" t="s">
        <v>338</v>
      </c>
      <c r="DH115" s="28" t="e">
        <f>DH113/DH114</f>
        <v>#DIV/0!</v>
      </c>
      <c r="DK115" s="84" t="s">
        <v>287</v>
      </c>
      <c r="DL115" s="28" t="e">
        <f>(DL113+DL114)/2</f>
        <v>#DIV/0!</v>
      </c>
      <c r="DQ115" s="84" t="s">
        <v>346</v>
      </c>
      <c r="DR115" s="28" t="e">
        <f>DR113/DR114</f>
        <v>#DIV/0!</v>
      </c>
      <c r="DU115" s="84" t="s">
        <v>287</v>
      </c>
      <c r="DV115" s="28" t="e">
        <f>(DV113+DV114)/2</f>
        <v>#DIV/0!</v>
      </c>
      <c r="EA115" s="84" t="s">
        <v>354</v>
      </c>
      <c r="EB115" s="28" t="e">
        <f>EB113/EB114</f>
        <v>#DIV/0!</v>
      </c>
      <c r="EE115" s="84" t="s">
        <v>287</v>
      </c>
      <c r="EF115" s="28" t="e">
        <f>(EF113+EF114)/2</f>
        <v>#DIV/0!</v>
      </c>
      <c r="EK115" s="84" t="s">
        <v>362</v>
      </c>
      <c r="EL115" s="28" t="e">
        <f>EL113/EL114</f>
        <v>#DIV/0!</v>
      </c>
      <c r="EO115" s="84" t="s">
        <v>287</v>
      </c>
      <c r="EP115" s="28" t="e">
        <f>(EP113+EP114)/2</f>
        <v>#DIV/0!</v>
      </c>
      <c r="EU115" s="84" t="s">
        <v>374</v>
      </c>
      <c r="EV115" s="28" t="e">
        <f>EV113/EV114</f>
        <v>#DIV/0!</v>
      </c>
      <c r="FC115" s="84" t="s">
        <v>374</v>
      </c>
      <c r="FD115" s="28" t="e">
        <f>FD113/FD114</f>
        <v>#DIV/0!</v>
      </c>
      <c r="FG115" s="84" t="s">
        <v>287</v>
      </c>
      <c r="FH115" s="28" t="e">
        <f>(FH113+FH114)/2</f>
        <v>#DIV/0!</v>
      </c>
      <c r="FM115" s="84" t="s">
        <v>382</v>
      </c>
      <c r="FN115" s="28" t="e">
        <f>FN113/FN114</f>
        <v>#DIV/0!</v>
      </c>
      <c r="FQ115" s="84" t="s">
        <v>287</v>
      </c>
      <c r="FR115" s="28" t="e">
        <f>(FR113+FR114)/2</f>
        <v>#DIV/0!</v>
      </c>
      <c r="FW115" s="84" t="s">
        <v>390</v>
      </c>
      <c r="FX115" s="28" t="e">
        <f>FX113/FX114</f>
        <v>#DIV/0!</v>
      </c>
      <c r="GA115" s="84" t="s">
        <v>287</v>
      </c>
      <c r="GB115" s="28" t="e">
        <f>(GB113+GB114)/2</f>
        <v>#DIV/0!</v>
      </c>
      <c r="GG115" s="84" t="s">
        <v>397</v>
      </c>
      <c r="GH115" s="28" t="e">
        <f>GH113/GH114</f>
        <v>#DIV/0!</v>
      </c>
      <c r="GK115" s="84" t="s">
        <v>287</v>
      </c>
      <c r="GL115" s="28" t="e">
        <f>(GL113+GL114)/2</f>
        <v>#DIV/0!</v>
      </c>
      <c r="GQ115" s="84" t="s">
        <v>406</v>
      </c>
      <c r="GR115" s="28" t="e">
        <f>GR113/GR114</f>
        <v>#DIV/0!</v>
      </c>
      <c r="GU115" s="84" t="s">
        <v>287</v>
      </c>
      <c r="GV115" s="28" t="e">
        <f>(GV113+GV114)/2</f>
        <v>#DIV/0!</v>
      </c>
      <c r="HA115" s="84" t="s">
        <v>414</v>
      </c>
      <c r="HB115" s="28" t="e">
        <f>HB113/HB114</f>
        <v>#DIV/0!</v>
      </c>
      <c r="HE115" s="84" t="s">
        <v>287</v>
      </c>
      <c r="HF115" s="28" t="e">
        <f>(HF113+HF114)/2</f>
        <v>#DIV/0!</v>
      </c>
      <c r="HK115" s="84" t="s">
        <v>425</v>
      </c>
      <c r="HL115" s="28" t="e">
        <f>HL113/HL114</f>
        <v>#DIV/0!</v>
      </c>
      <c r="HO115" s="84" t="s">
        <v>287</v>
      </c>
      <c r="HP115" s="28" t="e">
        <f>(HP113+HP114)/2</f>
        <v>#DIV/0!</v>
      </c>
      <c r="HU115" s="84" t="s">
        <v>476</v>
      </c>
      <c r="HV115" s="28" t="e">
        <f>HV113/HV114</f>
        <v>#DIV/0!</v>
      </c>
      <c r="HY115" s="84" t="s">
        <v>287</v>
      </c>
      <c r="HZ115" s="28" t="e">
        <f>(HZ113+HZ114)/2</f>
        <v>#DIV/0!</v>
      </c>
      <c r="IE115" s="84" t="s">
        <v>485</v>
      </c>
      <c r="IF115" s="28" t="e">
        <f>IF113/IF114</f>
        <v>#DIV/0!</v>
      </c>
      <c r="II115" s="84" t="s">
        <v>287</v>
      </c>
      <c r="IJ115" s="28" t="e">
        <f>(IJ113+IJ114)/2</f>
        <v>#DIV/0!</v>
      </c>
      <c r="IO115" s="84" t="s">
        <v>496</v>
      </c>
      <c r="IP115" s="28" t="e">
        <f>IP113/IP114</f>
        <v>#DIV/0!</v>
      </c>
      <c r="IS115" s="84" t="s">
        <v>287</v>
      </c>
      <c r="IT115" s="28" t="e">
        <f>(IT113+IT114)/2</f>
        <v>#DIV/0!</v>
      </c>
      <c r="IY115" s="84" t="s">
        <v>506</v>
      </c>
      <c r="IZ115" s="28" t="e">
        <f>IZ113/IZ114</f>
        <v>#DIV/0!</v>
      </c>
      <c r="JC115" s="84" t="s">
        <v>287</v>
      </c>
      <c r="JD115" s="28" t="e">
        <f>(JD113+JD114)/2</f>
        <v>#DIV/0!</v>
      </c>
      <c r="JI115" s="84" t="s">
        <v>506</v>
      </c>
      <c r="JJ115" s="28" t="e">
        <f>JJ113/JJ114</f>
        <v>#DIV/0!</v>
      </c>
      <c r="JM115" s="84" t="s">
        <v>287</v>
      </c>
      <c r="JN115" s="28" t="e">
        <f>(JN113+JN114)/2</f>
        <v>#DIV/0!</v>
      </c>
    </row>
    <row r="116" spans="1:275" s="28" customFormat="1" x14ac:dyDescent="0.25">
      <c r="A116" s="28" t="s">
        <v>63</v>
      </c>
      <c r="B116" s="28" t="e">
        <f>IF(E114&lt;=0,0,1.486/D28*(B115^(2/3))*E114^0.5)</f>
        <v>#DIV/0!</v>
      </c>
      <c r="C116" s="28" t="s">
        <v>276</v>
      </c>
      <c r="E116" s="28" t="s">
        <v>270</v>
      </c>
      <c r="F116" s="28" t="e">
        <f>2*(MAX(E114,E115))</f>
        <v>#DIV/0!</v>
      </c>
      <c r="G116" s="28" t="s">
        <v>29</v>
      </c>
      <c r="L116" s="84" t="s">
        <v>282</v>
      </c>
      <c r="M116" s="28" t="e">
        <f>1.486/D28*M115^0.6666*F110^0.5</f>
        <v>#DIV/0!</v>
      </c>
      <c r="N116" s="28" t="s">
        <v>285</v>
      </c>
      <c r="P116" s="84" t="s">
        <v>288</v>
      </c>
      <c r="Q116" s="28" t="e">
        <f>1.486/$D$28*M115^0.6666*Q115^0.5</f>
        <v>#DIV/0!</v>
      </c>
      <c r="R116" s="28" t="s">
        <v>154</v>
      </c>
      <c r="S116" s="84"/>
      <c r="U116" s="84" t="s">
        <v>292</v>
      </c>
      <c r="V116" s="28" t="e">
        <f>1.486/$D$28*V115^0.6666*Q115^0.5</f>
        <v>#DIV/0!</v>
      </c>
      <c r="X116" s="86"/>
      <c r="Y116" s="84" t="s">
        <v>294</v>
      </c>
      <c r="Z116" s="28" t="e">
        <f>1.486/$D$28*V115^0.6666*Z115^0.5</f>
        <v>#DIV/0!</v>
      </c>
      <c r="AE116" s="84" t="s">
        <v>297</v>
      </c>
      <c r="AF116" s="28" t="e">
        <f>1.486/$D$28*AF115^0.6666*Z115^0.5</f>
        <v>#DIV/0!</v>
      </c>
      <c r="AI116" s="84" t="s">
        <v>239</v>
      </c>
      <c r="AJ116" s="28" t="e">
        <f>1.486/$D$28*AF115^0.6666*AJ115^0.5</f>
        <v>#DIV/0!</v>
      </c>
      <c r="AO116" s="84" t="s">
        <v>241</v>
      </c>
      <c r="AP116" s="28" t="e">
        <f>1.486/$D$28*AP115^0.6666*AJ115^0.5</f>
        <v>#DIV/0!</v>
      </c>
      <c r="AS116" s="84" t="s">
        <v>242</v>
      </c>
      <c r="AT116" s="28" t="e">
        <f>1.486/$D$28*AP115^0.6666*AT115^0.5</f>
        <v>#DIV/0!</v>
      </c>
      <c r="AY116" s="84" t="s">
        <v>243</v>
      </c>
      <c r="AZ116" s="28" t="e">
        <f>1.486/$D$28*AZ115^0.6666*AT115^0.5</f>
        <v>#DIV/0!</v>
      </c>
      <c r="BC116" s="84" t="s">
        <v>244</v>
      </c>
      <c r="BD116" s="28" t="e">
        <f>1.486/$D$28*AZ115^0.6666*BD115^0.5</f>
        <v>#DIV/0!</v>
      </c>
      <c r="BI116" s="84" t="s">
        <v>263</v>
      </c>
      <c r="BJ116" s="28" t="e">
        <f>1.486/$D$28*BJ115^0.6666*BD115^0.5</f>
        <v>#DIV/0!</v>
      </c>
      <c r="BM116" s="84" t="s">
        <v>246</v>
      </c>
      <c r="BN116" s="28" t="e">
        <f>1.486/$D$28*BJ115^0.6666*BN115^0.5</f>
        <v>#DIV/0!</v>
      </c>
      <c r="BS116" s="84" t="s">
        <v>267</v>
      </c>
      <c r="BT116" s="28" t="e">
        <f>1.486/$D$28*BT115^0.6666*BN115^0.5</f>
        <v>#DIV/0!</v>
      </c>
      <c r="BW116" s="84" t="s">
        <v>309</v>
      </c>
      <c r="BX116" s="28" t="e">
        <f>1.486/$D$28*BT115^0.6666*BX115^0.5</f>
        <v>#DIV/0!</v>
      </c>
      <c r="CC116" s="84" t="s">
        <v>315</v>
      </c>
      <c r="CD116" s="28" t="e">
        <f>1.486/$D$28*CD115^0.6666*BX115^0.5</f>
        <v>#DIV/0!</v>
      </c>
      <c r="CG116" s="84" t="s">
        <v>317</v>
      </c>
      <c r="CH116" s="28" t="e">
        <f>1.486/$D$28*CD115^0.6666*CH115^0.5</f>
        <v>#DIV/0!</v>
      </c>
      <c r="CM116" s="84" t="s">
        <v>323</v>
      </c>
      <c r="CN116" s="28" t="e">
        <f>1.486/$D$28*CN115^0.6666*CH115^0.5</f>
        <v>#DIV/0!</v>
      </c>
      <c r="CQ116" s="84" t="s">
        <v>325</v>
      </c>
      <c r="CR116" s="28" t="e">
        <f>1.486/$D$28*CN115^0.6666*CR115^0.5</f>
        <v>#DIV/0!</v>
      </c>
      <c r="CW116" s="84" t="s">
        <v>331</v>
      </c>
      <c r="CX116" s="28" t="e">
        <f>1.486/$D$28*CX115^0.6666*CR115^0.5</f>
        <v>#DIV/0!</v>
      </c>
      <c r="DA116" s="84" t="s">
        <v>333</v>
      </c>
      <c r="DB116" s="28" t="e">
        <f>1.486/$D$28*CX115^0.6666*DB115^0.5</f>
        <v>#DIV/0!</v>
      </c>
      <c r="DG116" s="84" t="s">
        <v>339</v>
      </c>
      <c r="DH116" s="28" t="e">
        <f>1.486/$D$28*DH115^0.6666*DB115^0.5</f>
        <v>#DIV/0!</v>
      </c>
      <c r="DK116" s="84" t="s">
        <v>341</v>
      </c>
      <c r="DL116" s="28" t="e">
        <f>1.486/$D$28*DH115^0.6666*DL115^0.5</f>
        <v>#DIV/0!</v>
      </c>
      <c r="DQ116" s="84" t="s">
        <v>347</v>
      </c>
      <c r="DR116" s="28" t="e">
        <f>1.486/$D$28*DR115^0.6666*DL115^0.5</f>
        <v>#DIV/0!</v>
      </c>
      <c r="DU116" s="84" t="s">
        <v>349</v>
      </c>
      <c r="DV116" s="28" t="e">
        <f>1.486/$D$28*DR115^0.6666*DV115^0.5</f>
        <v>#DIV/0!</v>
      </c>
      <c r="EA116" s="84" t="s">
        <v>355</v>
      </c>
      <c r="EB116" s="28" t="e">
        <f>1.486/$D$28*EB115^0.6666*DV115^0.5</f>
        <v>#DIV/0!</v>
      </c>
      <c r="EE116" s="84" t="s">
        <v>357</v>
      </c>
      <c r="EF116" s="28" t="e">
        <f>1.486/$D$28*EB115^0.6666*EF115^0.5</f>
        <v>#DIV/0!</v>
      </c>
      <c r="EK116" s="84" t="s">
        <v>363</v>
      </c>
      <c r="EL116" s="28" t="e">
        <f>1.486/$D$28*EL115^0.6666*EF115^0.5</f>
        <v>#DIV/0!</v>
      </c>
      <c r="EO116" s="84" t="s">
        <v>365</v>
      </c>
      <c r="EP116" s="28" t="e">
        <f>1.486/$D$28*EL115^0.6666*EP113^0.5</f>
        <v>#DIV/0!</v>
      </c>
      <c r="EU116" s="84" t="s">
        <v>211</v>
      </c>
      <c r="EV116" s="28" t="e">
        <f>1.486/$D$28*EV115^0.6666*EP113^0.5</f>
        <v>#DIV/0!</v>
      </c>
      <c r="FC116" s="84" t="s">
        <v>211</v>
      </c>
      <c r="FD116" s="28" t="e">
        <f>1.486/$D$28*FD115^0.6666*EP114^0.5</f>
        <v>#DIV/0!</v>
      </c>
      <c r="FG116" s="84" t="s">
        <v>370</v>
      </c>
      <c r="FH116" s="28" t="e">
        <f>1.486/$D$28*FD115^0.6666*FH115^0.5</f>
        <v>#DIV/0!</v>
      </c>
      <c r="FM116" s="84" t="s">
        <v>383</v>
      </c>
      <c r="FN116" s="28" t="e">
        <f>1.486/$D$28*FN115^0.6666*FH115^0.5</f>
        <v>#DIV/0!</v>
      </c>
      <c r="FQ116" s="84" t="s">
        <v>385</v>
      </c>
      <c r="FR116" s="28" t="e">
        <f>1.486/$D$28*FN115^0.6666*FR115^0.5</f>
        <v>#DIV/0!</v>
      </c>
      <c r="FW116" s="84" t="s">
        <v>391</v>
      </c>
      <c r="FX116" s="28" t="e">
        <f>1.486/$D$28*FX115^0.6666*FR115^0.5</f>
        <v>#DIV/0!</v>
      </c>
      <c r="GA116" s="84" t="s">
        <v>393</v>
      </c>
      <c r="GB116" s="28" t="e">
        <f>1.486/$D$28*FX115^0.6666*GB115^0.5</f>
        <v>#DIV/0!</v>
      </c>
      <c r="GG116" s="84" t="s">
        <v>398</v>
      </c>
      <c r="GH116" s="28" t="e">
        <f>1.486/$D$28*GH115^0.6666*GB115^0.5</f>
        <v>#DIV/0!</v>
      </c>
      <c r="GK116" s="84" t="s">
        <v>400</v>
      </c>
      <c r="GL116" s="28" t="e">
        <f>1.486/$D$28*GH115^0.6666*GL115^0.5</f>
        <v>#DIV/0!</v>
      </c>
      <c r="GQ116" s="84" t="s">
        <v>407</v>
      </c>
      <c r="GR116" s="28" t="e">
        <f>1.486/$D$28*GR115^0.6666*GL115^0.5</f>
        <v>#DIV/0!</v>
      </c>
      <c r="GU116" s="84" t="s">
        <v>409</v>
      </c>
      <c r="GV116" s="28" t="e">
        <f>1.486/$D$28*GR115^0.6666*GV115^0.5</f>
        <v>#DIV/0!</v>
      </c>
      <c r="HA116" s="84" t="s">
        <v>415</v>
      </c>
      <c r="HB116" s="28" t="e">
        <f>1.486/$D$28*HB115^0.6666*GV115^0.5</f>
        <v>#DIV/0!</v>
      </c>
      <c r="HE116" s="84" t="s">
        <v>417</v>
      </c>
      <c r="HF116" s="28" t="e">
        <f>1.486/$D$28*HB115^0.6666*HF115^0.5</f>
        <v>#DIV/0!</v>
      </c>
      <c r="HK116" s="84" t="s">
        <v>422</v>
      </c>
      <c r="HL116" s="28" t="e">
        <f>1.486/$D$28*HL115^0.6666*HF115^0.5</f>
        <v>#DIV/0!</v>
      </c>
      <c r="HO116" s="84" t="s">
        <v>424</v>
      </c>
      <c r="HP116" s="28" t="e">
        <f>1.486/$D$28*HL115^0.6666*HP115^0.5</f>
        <v>#DIV/0!</v>
      </c>
      <c r="HU116" s="84" t="s">
        <v>477</v>
      </c>
      <c r="HV116" s="28" t="e">
        <f>1.486/$D$28*HV115^0.6666*HP115^0.5</f>
        <v>#DIV/0!</v>
      </c>
      <c r="HY116" s="84" t="s">
        <v>480</v>
      </c>
      <c r="HZ116" s="28" t="e">
        <f>1.486/$D$28*HV115^0.6666*HZ115^0.5</f>
        <v>#DIV/0!</v>
      </c>
      <c r="IE116" s="84" t="s">
        <v>486</v>
      </c>
      <c r="IF116" s="28" t="e">
        <f>1.486/$D$28*IF115^0.6666*HZ115^0.5</f>
        <v>#DIV/0!</v>
      </c>
      <c r="II116" s="84" t="s">
        <v>491</v>
      </c>
      <c r="IJ116" s="28" t="e">
        <f>1.486/$D$28*IF115^0.6666*IJ115^0.5</f>
        <v>#DIV/0!</v>
      </c>
      <c r="IO116" s="84" t="s">
        <v>497</v>
      </c>
      <c r="IP116" s="28" t="e">
        <f>1.486/$D$28*IP115^0.6666*IJ115^0.5</f>
        <v>#DIV/0!</v>
      </c>
      <c r="IS116" s="84" t="s">
        <v>501</v>
      </c>
      <c r="IT116" s="28" t="e">
        <f>1.486/$D$28*IP115^0.6666*IT115^0.5</f>
        <v>#DIV/0!</v>
      </c>
      <c r="IY116" s="84" t="s">
        <v>501</v>
      </c>
      <c r="IZ116" s="28" t="e">
        <f>1.486/$D$28*IZ115^0.6666*IT115^0.5</f>
        <v>#DIV/0!</v>
      </c>
      <c r="JC116" s="84" t="s">
        <v>510</v>
      </c>
      <c r="JD116" s="28" t="e">
        <f>1.486/$D$28*IZ115^0.6666*JD115^0.5</f>
        <v>#DIV/0!</v>
      </c>
      <c r="JI116" s="84" t="s">
        <v>501</v>
      </c>
      <c r="JJ116" s="28" t="e">
        <f>1.486/$D$28*JJ115^0.6666*JD115^0.5</f>
        <v>#DIV/0!</v>
      </c>
      <c r="JM116" s="84" t="s">
        <v>510</v>
      </c>
      <c r="JN116" s="28" t="e">
        <f>1.486/$D$28*JJ115^0.6666*JN115^0.5</f>
        <v>#DIV/0!</v>
      </c>
    </row>
    <row r="117" spans="1:275" s="28" customFormat="1" x14ac:dyDescent="0.25">
      <c r="A117" s="28" t="s">
        <v>63</v>
      </c>
      <c r="B117" s="28" t="e">
        <f>1.486/D28*B115^(2/3)*(E115)^0.5</f>
        <v>#DIV/0!</v>
      </c>
      <c r="C117" s="28" t="s">
        <v>277</v>
      </c>
      <c r="E117" s="84" t="s">
        <v>268</v>
      </c>
      <c r="F117" s="28" t="e">
        <f>IF(F112&lt;=C15,F110,0.0000001)</f>
        <v>#DIV/0!</v>
      </c>
      <c r="G117" s="28" t="s">
        <v>29</v>
      </c>
      <c r="L117" s="84" t="s">
        <v>283</v>
      </c>
      <c r="M117" s="28" t="e">
        <f>M113*M116</f>
        <v>#DIV/0!</v>
      </c>
      <c r="N117" s="28" t="s">
        <v>152</v>
      </c>
      <c r="U117" s="84" t="s">
        <v>293</v>
      </c>
      <c r="V117" s="28" t="e">
        <f>V113*V116</f>
        <v>#DIV/0!</v>
      </c>
      <c r="AE117" s="84" t="s">
        <v>301</v>
      </c>
      <c r="AF117" s="28" t="e">
        <f>AF113*AF116</f>
        <v>#DIV/0!</v>
      </c>
      <c r="AO117" s="84" t="s">
        <v>240</v>
      </c>
      <c r="AP117" s="28" t="e">
        <f>AP113*AP116</f>
        <v>#DIV/0!</v>
      </c>
      <c r="AY117" s="84" t="s">
        <v>304</v>
      </c>
      <c r="AZ117" s="28" t="e">
        <f>AZ113*AZ116</f>
        <v>#DIV/0!</v>
      </c>
      <c r="BI117" s="84" t="s">
        <v>245</v>
      </c>
      <c r="BJ117" s="28" t="e">
        <f>BJ113*BJ116</f>
        <v>#DIV/0!</v>
      </c>
      <c r="BS117" s="84" t="s">
        <v>247</v>
      </c>
      <c r="BT117" s="28" t="e">
        <f>BT113*BT116</f>
        <v>#DIV/0!</v>
      </c>
      <c r="CC117" s="84" t="s">
        <v>316</v>
      </c>
      <c r="CD117" s="28" t="e">
        <f>CD113*CD116</f>
        <v>#DIV/0!</v>
      </c>
      <c r="CM117" s="84" t="s">
        <v>324</v>
      </c>
      <c r="CN117" s="28" t="e">
        <f>CN113*CN116</f>
        <v>#DIV/0!</v>
      </c>
      <c r="CW117" s="84" t="s">
        <v>332</v>
      </c>
      <c r="CX117" s="28" t="e">
        <f>CX113*CX116</f>
        <v>#DIV/0!</v>
      </c>
      <c r="DG117" s="84" t="s">
        <v>340</v>
      </c>
      <c r="DH117" s="28" t="e">
        <f>DH113*DH116</f>
        <v>#DIV/0!</v>
      </c>
      <c r="DQ117" s="84" t="s">
        <v>348</v>
      </c>
      <c r="DR117" s="28" t="e">
        <f>DR113*DR116</f>
        <v>#DIV/0!</v>
      </c>
      <c r="EA117" s="84" t="s">
        <v>356</v>
      </c>
      <c r="EB117" s="28" t="e">
        <f>EB113*EB116</f>
        <v>#DIV/0!</v>
      </c>
      <c r="EK117" s="84" t="s">
        <v>364</v>
      </c>
      <c r="EL117" s="28" t="e">
        <f>EL113*EL116</f>
        <v>#DIV/0!</v>
      </c>
      <c r="EO117" s="84" t="s">
        <v>366</v>
      </c>
      <c r="EP117" s="28" t="e">
        <f>1.486/$D$28*EL115^0.6666*EP114^0.5</f>
        <v>#DIV/0!</v>
      </c>
      <c r="EU117" s="84" t="s">
        <v>375</v>
      </c>
      <c r="EV117" s="28" t="e">
        <f>EV113*EV116</f>
        <v>#DIV/0!</v>
      </c>
      <c r="FC117" s="84" t="s">
        <v>375</v>
      </c>
      <c r="FD117" s="28" t="e">
        <f>FD113*FD116</f>
        <v>#DIV/0!</v>
      </c>
      <c r="FG117" s="84"/>
      <c r="FM117" s="84" t="s">
        <v>384</v>
      </c>
      <c r="FN117" s="28" t="e">
        <f>FN113*FN116</f>
        <v>#DIV/0!</v>
      </c>
      <c r="FW117" s="84" t="s">
        <v>392</v>
      </c>
      <c r="FX117" s="28" t="e">
        <f>FX113*FX116</f>
        <v>#DIV/0!</v>
      </c>
      <c r="GG117" s="84" t="s">
        <v>399</v>
      </c>
      <c r="GH117" s="28" t="e">
        <f>GH113*GH116</f>
        <v>#DIV/0!</v>
      </c>
      <c r="GQ117" s="84" t="s">
        <v>408</v>
      </c>
      <c r="GR117" s="28" t="e">
        <f>GR113*GR116</f>
        <v>#DIV/0!</v>
      </c>
      <c r="HA117" s="84" t="s">
        <v>416</v>
      </c>
      <c r="HB117" s="28" t="e">
        <f>HB113*HB116</f>
        <v>#DIV/0!</v>
      </c>
      <c r="HK117" s="84" t="s">
        <v>423</v>
      </c>
      <c r="HL117" s="28" t="e">
        <f>HL113*HL116</f>
        <v>#DIV/0!</v>
      </c>
      <c r="HU117" s="84" t="s">
        <v>490</v>
      </c>
      <c r="HV117" s="28" t="e">
        <f>HV113*HV116</f>
        <v>#DIV/0!</v>
      </c>
      <c r="IE117" s="84" t="s">
        <v>487</v>
      </c>
      <c r="IF117" s="28" t="e">
        <f>IF113*IF116</f>
        <v>#DIV/0!</v>
      </c>
      <c r="IO117" s="84" t="s">
        <v>498</v>
      </c>
      <c r="IP117" s="28" t="e">
        <f>IP113*IP116</f>
        <v>#DIV/0!</v>
      </c>
      <c r="IY117" s="84" t="s">
        <v>507</v>
      </c>
      <c r="IZ117" s="28" t="e">
        <f>IZ113*IZ116</f>
        <v>#DIV/0!</v>
      </c>
      <c r="JI117" s="84" t="s">
        <v>507</v>
      </c>
      <c r="JJ117" s="28" t="e">
        <f>JJ113*JJ116</f>
        <v>#DIV/0!</v>
      </c>
    </row>
    <row r="118" spans="1:275" s="28" customFormat="1" x14ac:dyDescent="0.25">
      <c r="E118" s="84" t="s">
        <v>271</v>
      </c>
      <c r="F118" s="28" t="e">
        <f>(F116+F117)/2</f>
        <v>#DIV/0!</v>
      </c>
      <c r="G118" s="28" t="s">
        <v>29</v>
      </c>
      <c r="L118" s="84" t="s">
        <v>273</v>
      </c>
      <c r="M118" s="28" t="e">
        <f>0.325*((M117/$B$39)^0.6666)+0.083*$B$39</f>
        <v>#DIV/0!</v>
      </c>
      <c r="U118" s="84" t="s">
        <v>429</v>
      </c>
      <c r="V118" s="28" t="e">
        <f>0.325*((V117/$B$39)^0.6666)+0.083*$B$39</f>
        <v>#DIV/0!</v>
      </c>
      <c r="AE118" s="84" t="s">
        <v>431</v>
      </c>
      <c r="AF118" s="28" t="e">
        <f>0.325*((AF117/$B$39)^0.6666)+0.083*$B$39</f>
        <v>#DIV/0!</v>
      </c>
      <c r="AO118" s="84" t="s">
        <v>433</v>
      </c>
      <c r="AP118" s="28" t="e">
        <f>0.325*((AP117/$B$39)^0.6666)+0.083*$B$39</f>
        <v>#DIV/0!</v>
      </c>
      <c r="AY118" s="84" t="s">
        <v>435</v>
      </c>
      <c r="AZ118" s="28" t="e">
        <f>0.325*((AZ117/$B$39)^0.6666)+0.083*$B$39</f>
        <v>#DIV/0!</v>
      </c>
      <c r="BI118" s="84" t="s">
        <v>437</v>
      </c>
      <c r="BJ118" s="28" t="e">
        <f>0.325*((BJ117/$B$39)^0.6666)+0.083*$B$39</f>
        <v>#DIV/0!</v>
      </c>
      <c r="BS118" s="84" t="s">
        <v>439</v>
      </c>
      <c r="BT118" s="28" t="e">
        <f>0.325*((BT117/$B$39)^0.6666)+0.083*$B$39</f>
        <v>#DIV/0!</v>
      </c>
      <c r="CC118" s="84" t="s">
        <v>441</v>
      </c>
      <c r="CD118" s="28" t="e">
        <f>0.325*((CD117/$B$39)^0.6666)+0.083*$B$39</f>
        <v>#DIV/0!</v>
      </c>
      <c r="CM118" s="84" t="s">
        <v>443</v>
      </c>
      <c r="CN118" s="28" t="e">
        <f>0.325*((CN117/$B$39)^0.6666)+0.083*$B$39</f>
        <v>#DIV/0!</v>
      </c>
      <c r="CW118" s="84" t="s">
        <v>445</v>
      </c>
      <c r="CX118" s="28" t="e">
        <f>0.325*((CX117/$B$39)^0.6666)+0.083*$B$39</f>
        <v>#DIV/0!</v>
      </c>
      <c r="DG118" s="84" t="s">
        <v>447</v>
      </c>
      <c r="DH118" s="28" t="e">
        <f>0.325*((DH117/$B$39)^0.6666)+0.083*$B$39</f>
        <v>#DIV/0!</v>
      </c>
      <c r="DQ118" s="84" t="s">
        <v>449</v>
      </c>
      <c r="DR118" s="28" t="e">
        <f>0.325*((DR117/$B$39)^0.6666)+0.083*$B$39</f>
        <v>#DIV/0!</v>
      </c>
      <c r="EA118" s="84" t="s">
        <v>451</v>
      </c>
      <c r="EB118" s="28" t="e">
        <f>0.325*((EB117/$B$39)^0.6666)+0.083*$B$39</f>
        <v>#DIV/0!</v>
      </c>
      <c r="EK118" s="84" t="s">
        <v>453</v>
      </c>
      <c r="EL118" s="28" t="e">
        <f>0.325*((EL117/$B$39)^0.6666)+0.083*$B$39</f>
        <v>#DIV/0!</v>
      </c>
      <c r="EU118" s="84" t="s">
        <v>273</v>
      </c>
      <c r="EV118" s="28" t="e">
        <f>0.325*((EV117/$B$39)^0.6666)+0.083*$B$39</f>
        <v>#DIV/0!</v>
      </c>
      <c r="FC118" s="84" t="s">
        <v>273</v>
      </c>
      <c r="FD118" s="28" t="e">
        <f>0.325*((FD117/$B$39)^0.6666)+0.083*$B$39</f>
        <v>#DIV/0!</v>
      </c>
      <c r="FM118" s="84" t="s">
        <v>455</v>
      </c>
      <c r="FN118" s="28" t="e">
        <f>0.325*((FN117/$B$39)^0.6666)+0.083*$B$39</f>
        <v>#DIV/0!</v>
      </c>
      <c r="FW118" s="84" t="s">
        <v>457</v>
      </c>
      <c r="FX118" s="28" t="e">
        <f>0.325*((FX117/$B$39)^0.6666)+0.083*$B$39</f>
        <v>#DIV/0!</v>
      </c>
      <c r="GG118" s="84" t="s">
        <v>459</v>
      </c>
      <c r="GH118" s="28" t="e">
        <f>0.325*((GH117/$B$39)^0.6666)+0.083*$B$39</f>
        <v>#DIV/0!</v>
      </c>
      <c r="GQ118" s="84" t="s">
        <v>461</v>
      </c>
      <c r="GR118" s="28" t="e">
        <f>0.325*((GR117/$B$39)^0.6666)+0.083*$B$39</f>
        <v>#DIV/0!</v>
      </c>
      <c r="HA118" s="84" t="s">
        <v>463</v>
      </c>
      <c r="HB118" s="28" t="e">
        <f>0.325*((HB117/$B$39)^0.6666)+0.083*$B$39</f>
        <v>#DIV/0!</v>
      </c>
      <c r="HD118" s="28" t="s">
        <v>148</v>
      </c>
      <c r="HE118" s="89" t="e">
        <f>ABS(HB120-$C$15)</f>
        <v>#DIV/0!</v>
      </c>
      <c r="HF118" s="28" t="s">
        <v>54</v>
      </c>
      <c r="HK118" s="84" t="s">
        <v>465</v>
      </c>
      <c r="HL118" s="28" t="e">
        <f>0.325*((HL117/$B$39)^0.6666)+0.083*$B$39</f>
        <v>#DIV/0!</v>
      </c>
      <c r="HO118" s="28" t="s">
        <v>148</v>
      </c>
      <c r="HP118" s="89" t="e">
        <f>ABS(HL120-$C$15)</f>
        <v>#DIV/0!</v>
      </c>
      <c r="HQ118" s="28" t="s">
        <v>54</v>
      </c>
      <c r="HU118" s="84" t="s">
        <v>478</v>
      </c>
      <c r="HV118" s="28" t="e">
        <f>0.325*((HV117/$B$39)^0.6666)+0.083*$B$39</f>
        <v>#DIV/0!</v>
      </c>
      <c r="HY118" s="28" t="s">
        <v>148</v>
      </c>
      <c r="HZ118" s="89" t="e">
        <f>ABS(HV120-$C$15)</f>
        <v>#DIV/0!</v>
      </c>
      <c r="IA118" s="28" t="s">
        <v>54</v>
      </c>
      <c r="IE118" s="84" t="s">
        <v>488</v>
      </c>
      <c r="IF118" s="28" t="e">
        <f>0.325*((IF117/$B$39)^0.6666)+0.083*$B$39</f>
        <v>#DIV/0!</v>
      </c>
      <c r="II118" s="28" t="s">
        <v>148</v>
      </c>
      <c r="IJ118" s="89" t="e">
        <f>ABS(IF120-$C$15)</f>
        <v>#DIV/0!</v>
      </c>
      <c r="IK118" s="28" t="s">
        <v>54</v>
      </c>
      <c r="IO118" s="84" t="s">
        <v>499</v>
      </c>
      <c r="IP118" s="28" t="e">
        <f>0.325*((IP117/$B$39)^0.6666)+0.083*$B$39</f>
        <v>#DIV/0!</v>
      </c>
      <c r="IS118" s="28" t="s">
        <v>148</v>
      </c>
      <c r="IT118" s="89" t="e">
        <f>ABS(IP120-$C$15)</f>
        <v>#DIV/0!</v>
      </c>
      <c r="IU118" s="28" t="s">
        <v>54</v>
      </c>
      <c r="IY118" s="84" t="s">
        <v>508</v>
      </c>
      <c r="IZ118" s="28" t="e">
        <f>0.325*((IZ117/$B$39)^0.6666)+0.083*$B$39</f>
        <v>#DIV/0!</v>
      </c>
      <c r="JC118" s="28" t="s">
        <v>148</v>
      </c>
      <c r="JD118" s="89" t="e">
        <f>ABS(IZ120-$C$15)</f>
        <v>#DIV/0!</v>
      </c>
      <c r="JE118" s="28" t="s">
        <v>54</v>
      </c>
      <c r="JI118" s="84" t="s">
        <v>508</v>
      </c>
      <c r="JJ118" s="28" t="e">
        <f>0.325*((JJ117/$B$39)^0.6666)+0.083*$B$39</f>
        <v>#DIV/0!</v>
      </c>
      <c r="JM118" s="28" t="s">
        <v>148</v>
      </c>
      <c r="JN118" s="89" t="e">
        <f>ABS(JJ120-$C$15)</f>
        <v>#DIV/0!</v>
      </c>
      <c r="JO118" s="28" t="s">
        <v>54</v>
      </c>
    </row>
    <row r="119" spans="1:275" s="28" customFormat="1" x14ac:dyDescent="0.25">
      <c r="L119" s="84" t="s">
        <v>428</v>
      </c>
      <c r="M119" s="103" t="e">
        <f>IF(MAX(M118,$G$38)&gt;=$B$39,0.98*$B$39,MAX(M118,$G$38))</f>
        <v>#DIV/0!</v>
      </c>
      <c r="U119" s="84" t="s">
        <v>430</v>
      </c>
      <c r="V119" s="103" t="e">
        <f>IF(MAX(V118,$G$38)&gt;=$B$39,0.98*$B$39,IF(MAX(V118,$G$38)&lt;=0,0,MAX(V118,$G$38)))</f>
        <v>#DIV/0!</v>
      </c>
      <c r="AE119" s="84" t="s">
        <v>432</v>
      </c>
      <c r="AF119" s="103" t="e">
        <f>IF(MAX(AF118,$G$38)&gt;=$B$39,0.98*$B$39,MAX(AF118,$G$38))</f>
        <v>#DIV/0!</v>
      </c>
      <c r="AO119" s="84" t="s">
        <v>434</v>
      </c>
      <c r="AP119" s="103" t="e">
        <f>IF(MAX(AP118,$G$38)&gt;=$B$39,0.98*$B$39,MAX(AP118,$G$38))</f>
        <v>#DIV/0!</v>
      </c>
      <c r="AY119" s="84" t="s">
        <v>436</v>
      </c>
      <c r="AZ119" s="103" t="e">
        <f>IF(MAX(AZ118,$G$38)&gt;=$B$39,0.98*$B$39,MAX(AZ118,$G$38))</f>
        <v>#DIV/0!</v>
      </c>
      <c r="BI119" s="84" t="s">
        <v>438</v>
      </c>
      <c r="BJ119" s="103" t="e">
        <f>IF(MAX(BJ118,$G$38)&gt;=$B$39,0.98*$B$39,MAX(BJ118,$G$38))</f>
        <v>#DIV/0!</v>
      </c>
      <c r="BS119" s="84" t="s">
        <v>440</v>
      </c>
      <c r="BT119" s="103" t="e">
        <f>IF(MAX(BT118,$G$38)&gt;=$B$39,0.98*$B$39,MAX(BT118,$G$38))</f>
        <v>#DIV/0!</v>
      </c>
      <c r="CC119" s="84" t="s">
        <v>442</v>
      </c>
      <c r="CD119" s="103" t="e">
        <f>IF(MAX(CD118,$G$38)&gt;=$B$39,0.98*$B$39,MAX(CD118,$G$38))</f>
        <v>#DIV/0!</v>
      </c>
      <c r="CM119" s="84" t="s">
        <v>444</v>
      </c>
      <c r="CN119" s="103" t="e">
        <f>IF(MAX(CN118,$G$38)&gt;=$B$39,0.98*$B$39,MAX(CN118,$G$38))</f>
        <v>#DIV/0!</v>
      </c>
      <c r="CW119" s="84" t="s">
        <v>446</v>
      </c>
      <c r="CX119" s="103" t="e">
        <f>IF(MAX(CX118,$G$38)&gt;=$B$39,0.98*$B$39,MAX(CX118,$G$38))</f>
        <v>#DIV/0!</v>
      </c>
      <c r="DG119" s="84" t="s">
        <v>448</v>
      </c>
      <c r="DH119" s="103" t="e">
        <f>IF(MAX(DH118,$G$38)&gt;=$B$39,0.98*$B$39,MAX(DH118,$G$38))</f>
        <v>#DIV/0!</v>
      </c>
      <c r="DQ119" s="84" t="s">
        <v>450</v>
      </c>
      <c r="DR119" s="103" t="e">
        <f>IF(MAX(DR118,$G$38)&gt;=$B$39,0.98*$B$39,MAX(DR118,$G$38))</f>
        <v>#DIV/0!</v>
      </c>
      <c r="EA119" s="84" t="s">
        <v>452</v>
      </c>
      <c r="EB119" s="103" t="e">
        <f>IF(MAX(EB118,$G$38)&gt;=$B$39,0.98*$B$39,MAX(EB118,$G$38))</f>
        <v>#DIV/0!</v>
      </c>
      <c r="EK119" s="84" t="s">
        <v>454</v>
      </c>
      <c r="EL119" s="103" t="e">
        <f>IF(MAX(EL118,$G$38)&gt;=$B$39,0.98*$B$39,MAX(EL118,$G$38))</f>
        <v>#DIV/0!</v>
      </c>
      <c r="EU119" s="84" t="s">
        <v>428</v>
      </c>
      <c r="EV119" s="103" t="e">
        <f>IF(MAX(EV118,$G$38)&gt;=$B$39,0.98*$B$39,MAX(EV118,$G$38))</f>
        <v>#DIV/0!</v>
      </c>
      <c r="FC119" s="84" t="s">
        <v>428</v>
      </c>
      <c r="FD119" s="103" t="e">
        <f>IF(MAX(FD118,$G$38)&gt;=$B$39,0.98*$B$39,MAX(FD118,$G$38))</f>
        <v>#DIV/0!</v>
      </c>
      <c r="FM119" s="84" t="s">
        <v>456</v>
      </c>
      <c r="FN119" s="103" t="e">
        <f>IF(MAX(FN118,$G$38)&gt;=$B$39,0.98*$B$39,MAX(FN118,$G$38))</f>
        <v>#DIV/0!</v>
      </c>
      <c r="FW119" s="84" t="s">
        <v>458</v>
      </c>
      <c r="FX119" s="103" t="e">
        <f>IF(MAX(FX118,$G$38)&gt;=$B$39,0.98*$B$39,MAX(FX118,$G$38))</f>
        <v>#DIV/0!</v>
      </c>
      <c r="GG119" s="84" t="s">
        <v>460</v>
      </c>
      <c r="GH119" s="103" t="e">
        <f>IF(MAX(GH118,$G$38)&gt;=$B$39,0.98*$B$39,MAX(GH118,$G$38))</f>
        <v>#DIV/0!</v>
      </c>
      <c r="GQ119" s="84" t="s">
        <v>462</v>
      </c>
      <c r="GR119" s="103" t="e">
        <f>IF(MAX(GR118,$G$38)&gt;=$B$39,0.98*$B$39,MAX(GR118,$G$38))</f>
        <v>#DIV/0!</v>
      </c>
      <c r="HA119" s="84" t="s">
        <v>464</v>
      </c>
      <c r="HB119" s="103" t="e">
        <f>IF(MAX(HB118,$G$38)&gt;=$B$39,0.98*$B$39,MAX(HB118,$G$38))</f>
        <v>#DIV/0!</v>
      </c>
      <c r="HK119" s="84" t="s">
        <v>466</v>
      </c>
      <c r="HL119" s="103" t="e">
        <f>IF(MAX(HL118,$G$38)&gt;=$B$39,0.98*$B$39,MAX(HL118,$G$38))</f>
        <v>#DIV/0!</v>
      </c>
      <c r="HU119" s="84" t="s">
        <v>479</v>
      </c>
      <c r="HV119" s="103" t="e">
        <f>IF(MAX(HV118,$G$38)&gt;=$B$39,0.98*$B$39,MAX(HV118,$G$38))</f>
        <v>#DIV/0!</v>
      </c>
      <c r="IE119" s="84" t="s">
        <v>489</v>
      </c>
      <c r="IF119" s="103" t="e">
        <f>IF(MAX(IF118,$G$38)&gt;=$B$39,0.98*$B$39,MAX(IF118,$G$38))</f>
        <v>#DIV/0!</v>
      </c>
      <c r="IO119" s="84" t="s">
        <v>500</v>
      </c>
      <c r="IP119" s="103" t="e">
        <f>IF(MAX(IP118,$G$38)&gt;=$B$39,0.98*$B$39,MAX(IP118,$G$38))</f>
        <v>#DIV/0!</v>
      </c>
      <c r="IY119" s="84" t="s">
        <v>509</v>
      </c>
      <c r="IZ119" s="103" t="e">
        <f>IF(MAX(IZ118,$G$38)&gt;=$B$39,0.98*$B$39,MAX(IZ118,$G$38))</f>
        <v>#DIV/0!</v>
      </c>
      <c r="JI119" s="84" t="s">
        <v>509</v>
      </c>
      <c r="JJ119" s="103" t="e">
        <f>IF(MAX(JJ118,$G$38)&gt;=$B$39,0.98*$B$39,MAX(JJ118,$G$38))</f>
        <v>#DIV/0!</v>
      </c>
    </row>
    <row r="120" spans="1:275" s="28" customFormat="1" x14ac:dyDescent="0.25">
      <c r="A120" s="90" t="s">
        <v>216</v>
      </c>
      <c r="C120" s="28" t="e">
        <f>IF(B38&gt;1.1*B39,"NOT APPLICABLE!",JV111)</f>
        <v>#DIV/0!</v>
      </c>
      <c r="D120" s="28" t="s">
        <v>152</v>
      </c>
      <c r="E120" s="84" t="s">
        <v>427</v>
      </c>
      <c r="F120" s="104" t="e">
        <f>IF(B38&gt;1.1*B39,"NOT APPLICABLE!",JX110)</f>
        <v>#DIV/0!</v>
      </c>
      <c r="G120" s="28" t="s">
        <v>54</v>
      </c>
      <c r="L120" s="84" t="s">
        <v>212</v>
      </c>
      <c r="M120" s="28" t="e">
        <f>M119+$C$19+(F110*$C$18)+M110</f>
        <v>#DIV/0!</v>
      </c>
      <c r="N120" s="28" t="s">
        <v>54</v>
      </c>
      <c r="U120" s="84" t="s">
        <v>235</v>
      </c>
      <c r="V120" s="28" t="e">
        <f>V119+$C$19+(Q115*$C$18)+V110</f>
        <v>#DIV/0!</v>
      </c>
      <c r="X120" s="105"/>
      <c r="AE120" s="84" t="s">
        <v>235</v>
      </c>
      <c r="AF120" s="28" t="e">
        <f>AF119+$C$19+(Z115*$C$18)+AF110</f>
        <v>#DIV/0!</v>
      </c>
      <c r="AH120" s="105"/>
      <c r="AO120" s="84" t="s">
        <v>235</v>
      </c>
      <c r="AP120" s="28" t="e">
        <f>AP119+$C$19+(AJ115*$C$18)+AP110</f>
        <v>#DIV/0!</v>
      </c>
      <c r="AR120" s="105"/>
      <c r="AY120" s="84" t="s">
        <v>235</v>
      </c>
      <c r="AZ120" s="28" t="e">
        <f>AZ119+$C$19+(AT115*$C$18)+AZ110</f>
        <v>#DIV/0!</v>
      </c>
      <c r="BB120" s="105"/>
      <c r="BI120" s="84" t="s">
        <v>235</v>
      </c>
      <c r="BJ120" s="28" t="e">
        <f>BJ119+$C$19+(BD115*$C$18)+BJ110</f>
        <v>#DIV/0!</v>
      </c>
      <c r="BL120" s="105"/>
      <c r="BS120" s="84" t="s">
        <v>235</v>
      </c>
      <c r="BT120" s="28" t="e">
        <f>BT119+$C$19+(BN115*$C$18)+BT110</f>
        <v>#DIV/0!</v>
      </c>
      <c r="BV120" s="105"/>
      <c r="CC120" s="84" t="s">
        <v>235</v>
      </c>
      <c r="CD120" s="28" t="e">
        <f>CD119+$C$19+(BX115*$C$18)+CD110</f>
        <v>#DIV/0!</v>
      </c>
      <c r="CM120" s="84" t="s">
        <v>235</v>
      </c>
      <c r="CN120" s="28" t="e">
        <f>CN119+$C$19+(CH115*$C$18)+CN110</f>
        <v>#DIV/0!</v>
      </c>
      <c r="CW120" s="84" t="s">
        <v>235</v>
      </c>
      <c r="CX120" s="28" t="e">
        <f>CX119+$C$19+(CR115*$C$18)+CX110</f>
        <v>#DIV/0!</v>
      </c>
      <c r="DG120" s="84" t="s">
        <v>235</v>
      </c>
      <c r="DH120" s="28" t="e">
        <f>DH119+$C$19+(DB115*$C$18)+DH110</f>
        <v>#DIV/0!</v>
      </c>
      <c r="DQ120" s="84" t="s">
        <v>235</v>
      </c>
      <c r="DR120" s="28" t="e">
        <f>DR119+$C$19+(DL115*$C$18)+DR110</f>
        <v>#DIV/0!</v>
      </c>
      <c r="EA120" s="84" t="s">
        <v>235</v>
      </c>
      <c r="EB120" s="28" t="e">
        <f>EB119+$C$19+(DV115*$C$18)+EB110</f>
        <v>#DIV/0!</v>
      </c>
      <c r="EK120" s="84" t="s">
        <v>235</v>
      </c>
      <c r="EL120" s="28" t="e">
        <f>EL119+$C$19+(EF115*$C$18)+EL110</f>
        <v>#DIV/0!</v>
      </c>
      <c r="EU120" s="84" t="s">
        <v>235</v>
      </c>
      <c r="EV120" s="28" t="e">
        <f>EV119+$C$19+(EP113*$C$18)+EV110</f>
        <v>#DIV/0!</v>
      </c>
      <c r="FC120" s="84" t="s">
        <v>235</v>
      </c>
      <c r="FD120" s="28" t="e">
        <f>FD119+$C$19+(EP114*$C$18)+FD110</f>
        <v>#DIV/0!</v>
      </c>
      <c r="FM120" s="84" t="s">
        <v>235</v>
      </c>
      <c r="FN120" s="28" t="e">
        <f>FN119+$C$19+(FH115*$C$18)+FN110</f>
        <v>#DIV/0!</v>
      </c>
      <c r="FW120" s="84" t="s">
        <v>235</v>
      </c>
      <c r="FX120" s="28" t="e">
        <f>FX119+$C$19+(FR115*$C$18)+FX110</f>
        <v>#DIV/0!</v>
      </c>
      <c r="GG120" s="84" t="s">
        <v>235</v>
      </c>
      <c r="GH120" s="28" t="e">
        <f>GH119+$C$19+(GB115*$C$18)+GH110</f>
        <v>#DIV/0!</v>
      </c>
      <c r="GQ120" s="84" t="s">
        <v>235</v>
      </c>
      <c r="GR120" s="28" t="e">
        <f>GR119+$C$19+(GL115*$C$18)+GR110</f>
        <v>#DIV/0!</v>
      </c>
      <c r="HA120" s="84" t="s">
        <v>235</v>
      </c>
      <c r="HB120" s="28" t="e">
        <f>HB119+$C$19+(GV115*$C$18)+HB110</f>
        <v>#DIV/0!</v>
      </c>
      <c r="HK120" s="84" t="s">
        <v>235</v>
      </c>
      <c r="HL120" s="28" t="e">
        <f>HL119+$C$19+(HF115*$C$18)+HL110</f>
        <v>#DIV/0!</v>
      </c>
      <c r="HU120" s="84" t="s">
        <v>235</v>
      </c>
      <c r="HV120" s="28" t="e">
        <f>HV119+$C$19+(HP115*$C$18)+HV110</f>
        <v>#DIV/0!</v>
      </c>
      <c r="IE120" s="84" t="s">
        <v>235</v>
      </c>
      <c r="IF120" s="28" t="e">
        <f>IF119+$C$19+(HZ115*$C$18)+IF110</f>
        <v>#DIV/0!</v>
      </c>
      <c r="IO120" s="84" t="s">
        <v>235</v>
      </c>
      <c r="IP120" s="28" t="e">
        <f>IP119+$C$19+(IJ115*$C$18)+IP110</f>
        <v>#DIV/0!</v>
      </c>
      <c r="IY120" s="84" t="s">
        <v>235</v>
      </c>
      <c r="IZ120" s="28" t="e">
        <f>IZ119+$C$19+(IT115*$C$18)+IZ110</f>
        <v>#DIV/0!</v>
      </c>
      <c r="JI120" s="84" t="s">
        <v>235</v>
      </c>
      <c r="JJ120" s="28" t="e">
        <f>JJ119+$C$19+(JD115*$C$18)+JJ110</f>
        <v>#DIV/0!</v>
      </c>
    </row>
    <row r="122" spans="1:275" x14ac:dyDescent="0.25">
      <c r="A122" s="3" t="str">
        <f>IF(A123=F126,IF(M67&gt;5,"Approximate Value ...",""),"")</f>
        <v/>
      </c>
      <c r="B122" s="3" t="str">
        <f>IF(A123=F126,IF(M67&gt;5,P67,""),"")</f>
        <v/>
      </c>
    </row>
    <row r="123" spans="1:275" x14ac:dyDescent="0.25">
      <c r="A123" s="29" t="str">
        <f>IF(C$15&lt;C$20,F123,IF(C16&lt;C19,F131,IF(C$15=C$20,F124,IF(G38&gt;=B39,IF(E78&gt;4,IF(B38&gt;=B39,IF(B$74&lt;C$92,F127,F128),F127),IF(B38&gt;=B39,IF(AND(B69&gt;3.5,E78&lt;=4),IF(B81&lt;C92,F129,F128),IF(B67&lt;C92,F126,F128)),IF(AND(B69&gt;3.5,E78&lt;=4),F129,F126))),IF(B38&gt;=(0.75*B39),N124,IF(B69&lt;=3.5,F126,IF(B67&lt;C120,F126,F125)))))))</f>
        <v>Headwater Elevation EQUALS Tailwater Elevation - NO FLOW!</v>
      </c>
      <c r="B123" s="29"/>
      <c r="C123" s="63"/>
      <c r="F123" s="3" t="s">
        <v>69</v>
      </c>
      <c r="N123" s="3" t="e">
        <f>IF(E78&gt;4,IF(B74&lt;C105,IF(AND(B38&gt;B39,C92&lt;B74),C92,B74),IF(AND(B38&gt;B39,C92&lt;C105),C92,C105)),IF(AND(E78&lt;=4,B69&gt;3.5),IF(B81&lt;C105,B81,C105),IF(B67&lt;C105,B67,C105)))</f>
        <v>#DIV/0!</v>
      </c>
    </row>
    <row r="124" spans="1:275" x14ac:dyDescent="0.25">
      <c r="A124" s="29" t="s">
        <v>81</v>
      </c>
      <c r="B124" s="29">
        <f>IF(C$15&lt;C$20,"ERROR",IF(C16&lt;C19,"ERROR",IF(C$15=C$20,0,IF(G38&gt;=B39,IF(E78&gt;4,IF(B38&gt;=B39,IF(B$74&lt;C$92,B74,C92),B74),IF(B38&gt;=B39,IF(AND(B69&gt;3.5,E78&lt;=4),IF(B81&lt;C92,B81,C92),IF(B67&lt;C92,B67,C92)),IF(AND(B69&gt;3.5,E78&lt;=4),B81,B67))),IF(B38&gt;=(0.75*B39),N123,IF(B69&lt;=3.5,B67,IF(B67&lt;C120,B67,C120)))))))</f>
        <v>0</v>
      </c>
      <c r="C124" s="63"/>
      <c r="F124" s="3" t="s">
        <v>68</v>
      </c>
      <c r="N124" s="3" t="e">
        <f>IF(E78&gt;4,IF(B74&lt;C105,IF(AND(B38&gt;B39,C92&lt;B74),F128,F127),IF(AND(B38&gt;B39,C92&lt;C105),F128,F130)),IF(AND(E78&lt;=4,B69&gt;3.5),IF(B81&lt;C105,F129,F130),IF(B67&lt;C105,F126,F130)))</f>
        <v>#DIV/0!</v>
      </c>
    </row>
    <row r="125" spans="1:275" x14ac:dyDescent="0.25">
      <c r="F125" s="3" t="s">
        <v>236</v>
      </c>
    </row>
    <row r="126" spans="1:275" x14ac:dyDescent="0.25">
      <c r="F126" s="3" t="s">
        <v>77</v>
      </c>
    </row>
    <row r="127" spans="1:275" x14ac:dyDescent="0.25">
      <c r="F127" s="3" t="s">
        <v>76</v>
      </c>
    </row>
    <row r="128" spans="1:275" x14ac:dyDescent="0.25">
      <c r="F128" s="3" t="s">
        <v>119</v>
      </c>
    </row>
    <row r="129" spans="1:10" x14ac:dyDescent="0.25">
      <c r="F129" s="3" t="s">
        <v>82</v>
      </c>
    </row>
    <row r="130" spans="1:10" x14ac:dyDescent="0.25">
      <c r="A130" s="3" t="s">
        <v>186</v>
      </c>
      <c r="F130" s="3" t="s">
        <v>120</v>
      </c>
    </row>
    <row r="131" spans="1:10" ht="15.75" thickBot="1" x14ac:dyDescent="0.3">
      <c r="F131" s="3" t="s">
        <v>467</v>
      </c>
    </row>
    <row r="132" spans="1:10" ht="19.5" thickBot="1" x14ac:dyDescent="0.35">
      <c r="B132" s="75" t="s">
        <v>161</v>
      </c>
      <c r="C132" s="100">
        <v>100</v>
      </c>
      <c r="D132" s="72" t="s">
        <v>14</v>
      </c>
      <c r="E132" s="72"/>
      <c r="F132" s="72"/>
      <c r="G132" s="72"/>
      <c r="H132" s="72"/>
      <c r="I132" s="72"/>
      <c r="J132" s="72"/>
    </row>
    <row r="133" spans="1:10" ht="19.5" thickBot="1" x14ac:dyDescent="0.35">
      <c r="B133" s="75" t="s">
        <v>162</v>
      </c>
      <c r="C133" s="100"/>
      <c r="D133" s="72" t="s">
        <v>14</v>
      </c>
      <c r="E133" s="72"/>
      <c r="F133" s="72"/>
      <c r="G133" s="72"/>
      <c r="H133" s="72"/>
      <c r="I133" s="72"/>
      <c r="J133" s="72"/>
    </row>
    <row r="134" spans="1:10" ht="19.5" thickBot="1" x14ac:dyDescent="0.35">
      <c r="B134" s="75" t="s">
        <v>163</v>
      </c>
      <c r="C134" s="100"/>
      <c r="D134" s="72" t="s">
        <v>15</v>
      </c>
      <c r="E134" s="75" t="s">
        <v>12</v>
      </c>
      <c r="F134" s="102" t="s">
        <v>534</v>
      </c>
      <c r="G134" s="72"/>
      <c r="H134" s="72"/>
      <c r="I134" s="75"/>
      <c r="J134" s="77"/>
    </row>
    <row r="135" spans="1:10" ht="19.5" thickBot="1" x14ac:dyDescent="0.35">
      <c r="B135" s="75" t="s">
        <v>164</v>
      </c>
      <c r="C135" s="100"/>
      <c r="D135" s="72" t="s">
        <v>14</v>
      </c>
      <c r="E135" s="75" t="s">
        <v>13</v>
      </c>
      <c r="F135" s="102" t="s">
        <v>38</v>
      </c>
      <c r="G135" s="72"/>
      <c r="H135" s="72"/>
      <c r="I135" s="75"/>
      <c r="J135" s="77"/>
    </row>
    <row r="136" spans="1:10" ht="19.5" thickBot="1" x14ac:dyDescent="0.35">
      <c r="B136" s="75" t="s">
        <v>165</v>
      </c>
      <c r="C136" s="100"/>
      <c r="D136" s="72" t="s">
        <v>14</v>
      </c>
      <c r="E136" s="72"/>
      <c r="F136" s="72"/>
      <c r="G136" s="72"/>
      <c r="H136" s="72"/>
      <c r="I136" s="72"/>
      <c r="J136" s="72"/>
    </row>
    <row r="137" spans="1:10" ht="19.5" thickBot="1" x14ac:dyDescent="0.35">
      <c r="B137" s="72" t="s">
        <v>166</v>
      </c>
      <c r="C137" s="101"/>
      <c r="D137" s="72" t="s">
        <v>14</v>
      </c>
      <c r="E137" s="72"/>
      <c r="F137" s="8"/>
      <c r="G137" s="72"/>
      <c r="H137" s="72"/>
      <c r="I137" s="72"/>
      <c r="J137" s="72"/>
    </row>
    <row r="140" spans="1:10" x14ac:dyDescent="0.25">
      <c r="B140" s="4" t="s">
        <v>187</v>
      </c>
      <c r="C140" s="3" t="str">
        <f>IF(AND(C132=C15,C133=C16,C134=C17,C135=C18,C136=C19,C137=C20,F134=F17,F135=F18),"TRUE","FALSE")</f>
        <v>FALSE</v>
      </c>
    </row>
    <row r="142" spans="1:10" ht="18.75" x14ac:dyDescent="0.3">
      <c r="A142" s="72" t="s">
        <v>229</v>
      </c>
      <c r="B142" s="72" t="s">
        <v>230</v>
      </c>
    </row>
    <row r="143" spans="1:10" ht="18.75" x14ac:dyDescent="0.3">
      <c r="B143" s="72" t="s">
        <v>232</v>
      </c>
    </row>
    <row r="144" spans="1:10" ht="18.75" x14ac:dyDescent="0.3">
      <c r="B144" s="72" t="s">
        <v>231</v>
      </c>
    </row>
    <row r="145" spans="2:2" ht="18.75" x14ac:dyDescent="0.3">
      <c r="B145" s="95">
        <v>41029</v>
      </c>
    </row>
  </sheetData>
  <sheetProtection sheet="1" objects="1" scenarios="1" selectLockedCells="1"/>
  <mergeCells count="1">
    <mergeCell ref="B5:E5"/>
  </mergeCells>
  <conditionalFormatting sqref="E26">
    <cfRule type="expression" dxfId="0" priority="1">
      <formula>ISNUMBER(C26)</formula>
    </cfRule>
  </conditionalFormatting>
  <dataValidations count="3">
    <dataValidation type="list" allowBlank="1" showInputMessage="1" showErrorMessage="1" sqref="F135">
      <formula1>INDIRECT(F134)</formula1>
    </dataValidation>
    <dataValidation type="list" allowBlank="1" showInputMessage="1" showErrorMessage="1" sqref="F17 F134">
      <formula1>Culv_Material</formula1>
    </dataValidation>
    <dataValidation type="list" errorStyle="information" allowBlank="1" showErrorMessage="1" errorTitle="Culvert Inlet Type" error="Select an allowable culvert Inlet Type for your material." sqref="F18">
      <formula1>INDIRECT(F17)</formula1>
    </dataValidation>
  </dataValidations>
  <printOptions horizontalCentered="1" verticalCentered="1"/>
  <pageMargins left="0.7" right="0.7" top="0.75" bottom="0.75" header="0.3" footer="0.3"/>
  <pageSetup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23"/>
  <sheetViews>
    <sheetView zoomScale="75" zoomScaleNormal="75" workbookViewId="0">
      <selection activeCell="B6" sqref="B6"/>
    </sheetView>
  </sheetViews>
  <sheetFormatPr defaultRowHeight="15" x14ac:dyDescent="0.25"/>
  <cols>
    <col min="1" max="1" width="38.85546875" customWidth="1"/>
    <col min="2" max="2" width="25.140625" customWidth="1"/>
    <col min="3" max="3" width="25.28515625" customWidth="1"/>
    <col min="4" max="5" width="12" customWidth="1"/>
    <col min="6" max="7" width="11.7109375" customWidth="1"/>
  </cols>
  <sheetData>
    <row r="1" spans="1:3" s="31" customFormat="1" ht="15.75" x14ac:dyDescent="0.25">
      <c r="A1" s="30" t="s">
        <v>98</v>
      </c>
    </row>
    <row r="2" spans="1:3" s="31" customFormat="1" x14ac:dyDescent="0.25">
      <c r="A2" s="32" t="s">
        <v>7</v>
      </c>
      <c r="B2" s="33" t="s">
        <v>87</v>
      </c>
    </row>
    <row r="3" spans="1:3" s="31" customFormat="1" x14ac:dyDescent="0.25">
      <c r="A3" s="34" t="s">
        <v>8</v>
      </c>
      <c r="B3" s="35">
        <v>1.2E-2</v>
      </c>
      <c r="C3" s="31" t="s">
        <v>70</v>
      </c>
    </row>
    <row r="4" spans="1:3" s="31" customFormat="1" x14ac:dyDescent="0.25">
      <c r="A4" s="34" t="s">
        <v>534</v>
      </c>
      <c r="B4" s="35">
        <v>2.4E-2</v>
      </c>
      <c r="C4" s="31" t="s">
        <v>70</v>
      </c>
    </row>
    <row r="5" spans="1:3" s="31" customFormat="1" x14ac:dyDescent="0.25">
      <c r="A5" s="34" t="s">
        <v>533</v>
      </c>
      <c r="B5" s="35">
        <v>2.8000000000000001E-2</v>
      </c>
      <c r="C5" s="31" t="s">
        <v>70</v>
      </c>
    </row>
    <row r="6" spans="1:3" s="31" customFormat="1" x14ac:dyDescent="0.25">
      <c r="A6" s="34" t="s">
        <v>535</v>
      </c>
      <c r="B6" s="35">
        <v>0.01</v>
      </c>
      <c r="C6" s="31" t="s">
        <v>532</v>
      </c>
    </row>
    <row r="7" spans="1:3" s="31" customFormat="1" x14ac:dyDescent="0.25">
      <c r="A7" s="34" t="s">
        <v>93</v>
      </c>
      <c r="B7" s="35">
        <v>1.0999999999999999E-2</v>
      </c>
      <c r="C7" s="31" t="s">
        <v>86</v>
      </c>
    </row>
    <row r="8" spans="1:3" s="31" customFormat="1" x14ac:dyDescent="0.25">
      <c r="A8" s="34" t="s">
        <v>94</v>
      </c>
      <c r="B8" s="35">
        <v>2.4E-2</v>
      </c>
      <c r="C8" s="31" t="s">
        <v>86</v>
      </c>
    </row>
    <row r="9" spans="1:3" s="31" customFormat="1" x14ac:dyDescent="0.25">
      <c r="A9" s="34" t="s">
        <v>95</v>
      </c>
      <c r="B9" s="35">
        <v>1.2E-2</v>
      </c>
      <c r="C9" s="31" t="s">
        <v>86</v>
      </c>
    </row>
    <row r="11" spans="1:3" x14ac:dyDescent="0.25">
      <c r="A11" s="2"/>
      <c r="B11" s="1"/>
    </row>
    <row r="13" spans="1:3" s="37" customFormat="1" ht="15.75" x14ac:dyDescent="0.25">
      <c r="A13" s="36" t="s">
        <v>99</v>
      </c>
      <c r="B13" s="37" t="s">
        <v>11</v>
      </c>
    </row>
    <row r="14" spans="1:3" s="37" customFormat="1" x14ac:dyDescent="0.25">
      <c r="A14" s="38" t="s">
        <v>9</v>
      </c>
      <c r="B14" s="39" t="s">
        <v>10</v>
      </c>
    </row>
    <row r="15" spans="1:3" s="37" customFormat="1" x14ac:dyDescent="0.25">
      <c r="A15" s="37" t="s">
        <v>36</v>
      </c>
      <c r="B15" s="40">
        <v>0.2</v>
      </c>
    </row>
    <row r="16" spans="1:3" s="37" customFormat="1" x14ac:dyDescent="0.25">
      <c r="A16" s="37" t="s">
        <v>40</v>
      </c>
      <c r="B16" s="40">
        <v>0.5</v>
      </c>
    </row>
    <row r="17" spans="1:10" s="37" customFormat="1" x14ac:dyDescent="0.25">
      <c r="A17" s="37" t="s">
        <v>38</v>
      </c>
      <c r="B17" s="40">
        <v>0.9</v>
      </c>
    </row>
    <row r="18" spans="1:10" s="37" customFormat="1" x14ac:dyDescent="0.25">
      <c r="A18" s="37" t="s">
        <v>35</v>
      </c>
      <c r="B18" s="40">
        <v>0.2</v>
      </c>
    </row>
    <row r="19" spans="1:10" s="37" customFormat="1" x14ac:dyDescent="0.25">
      <c r="A19" s="37" t="s">
        <v>34</v>
      </c>
      <c r="B19" s="40">
        <v>0.5</v>
      </c>
    </row>
    <row r="20" spans="1:10" s="37" customFormat="1" x14ac:dyDescent="0.25">
      <c r="A20" s="37" t="s">
        <v>37</v>
      </c>
      <c r="B20" s="40">
        <v>0.7</v>
      </c>
    </row>
    <row r="23" spans="1:10" s="42" customFormat="1" ht="15.75" x14ac:dyDescent="0.25">
      <c r="A23" s="45" t="s">
        <v>16</v>
      </c>
      <c r="C23" s="42" t="s">
        <v>17</v>
      </c>
    </row>
    <row r="24" spans="1:10" s="42" customFormat="1" x14ac:dyDescent="0.25"/>
    <row r="25" spans="1:10" s="42" customFormat="1" x14ac:dyDescent="0.25">
      <c r="D25" s="43" t="s">
        <v>19</v>
      </c>
      <c r="E25" s="41" t="s">
        <v>23</v>
      </c>
      <c r="F25" s="41"/>
      <c r="G25" s="41" t="s">
        <v>26</v>
      </c>
      <c r="H25" s="41"/>
    </row>
    <row r="26" spans="1:10" s="42" customFormat="1" x14ac:dyDescent="0.25">
      <c r="A26" s="43" t="s">
        <v>32</v>
      </c>
      <c r="B26" s="43" t="s">
        <v>7</v>
      </c>
      <c r="C26" s="43" t="s">
        <v>18</v>
      </c>
      <c r="D26" s="43" t="s">
        <v>20</v>
      </c>
      <c r="E26" s="43" t="s">
        <v>21</v>
      </c>
      <c r="F26" s="43" t="s">
        <v>22</v>
      </c>
      <c r="G26" s="43" t="s">
        <v>24</v>
      </c>
      <c r="H26" s="43" t="s">
        <v>25</v>
      </c>
    </row>
    <row r="27" spans="1:10" s="42" customFormat="1" x14ac:dyDescent="0.25">
      <c r="A27" s="43"/>
      <c r="B27" s="43"/>
      <c r="C27" s="43"/>
      <c r="D27" s="43"/>
      <c r="E27" s="43"/>
      <c r="F27" s="43"/>
      <c r="G27" s="43"/>
      <c r="H27" s="43"/>
    </row>
    <row r="28" spans="1:10" s="42" customFormat="1" x14ac:dyDescent="0.25">
      <c r="A28" s="44" t="s">
        <v>33</v>
      </c>
      <c r="B28" s="44" t="s">
        <v>8</v>
      </c>
      <c r="C28" s="44" t="s">
        <v>34</v>
      </c>
      <c r="D28" s="44">
        <v>1</v>
      </c>
      <c r="E28" s="44">
        <v>9.7999999999999997E-3</v>
      </c>
      <c r="F28" s="44">
        <v>2</v>
      </c>
      <c r="G28" s="44">
        <v>3.9800000000000002E-2</v>
      </c>
      <c r="H28" s="44">
        <v>0.67</v>
      </c>
      <c r="I28" s="44"/>
    </row>
    <row r="29" spans="1:10" s="42" customFormat="1" x14ac:dyDescent="0.25">
      <c r="A29" s="44" t="s">
        <v>33</v>
      </c>
      <c r="B29" s="44" t="s">
        <v>8</v>
      </c>
      <c r="C29" s="44" t="s">
        <v>35</v>
      </c>
      <c r="D29" s="44">
        <v>1</v>
      </c>
      <c r="E29" s="44">
        <v>7.7999999999999996E-3</v>
      </c>
      <c r="F29" s="44">
        <v>2</v>
      </c>
      <c r="G29" s="44">
        <v>2.92E-2</v>
      </c>
      <c r="H29" s="44">
        <v>0.74</v>
      </c>
      <c r="I29" s="44"/>
    </row>
    <row r="30" spans="1:10" s="42" customFormat="1" x14ac:dyDescent="0.25">
      <c r="A30" s="44" t="s">
        <v>33</v>
      </c>
      <c r="B30" s="44" t="s">
        <v>8</v>
      </c>
      <c r="C30" s="44" t="s">
        <v>36</v>
      </c>
      <c r="D30" s="44">
        <v>1</v>
      </c>
      <c r="E30" s="44">
        <v>4.4999999999999997E-3</v>
      </c>
      <c r="F30" s="44">
        <v>2</v>
      </c>
      <c r="G30" s="44">
        <v>3.1699999999999999E-2</v>
      </c>
      <c r="H30" s="44">
        <v>0.69</v>
      </c>
      <c r="I30" s="44"/>
    </row>
    <row r="31" spans="1:10" s="42" customFormat="1" x14ac:dyDescent="0.25">
      <c r="A31" s="44" t="s">
        <v>33</v>
      </c>
      <c r="B31" s="44" t="s">
        <v>8</v>
      </c>
      <c r="C31" s="44" t="s">
        <v>40</v>
      </c>
      <c r="D31" s="44"/>
      <c r="E31" s="44">
        <v>1.4500000000000001E-2</v>
      </c>
      <c r="F31" s="44">
        <v>1.75</v>
      </c>
      <c r="G31" s="44">
        <v>4.1200000000000001E-2</v>
      </c>
      <c r="H31" s="44">
        <v>0.64</v>
      </c>
      <c r="I31" s="44"/>
      <c r="J31" s="42" t="s">
        <v>92</v>
      </c>
    </row>
    <row r="32" spans="1:10" s="42" customFormat="1" x14ac:dyDescent="0.25">
      <c r="A32" s="44" t="s">
        <v>33</v>
      </c>
      <c r="B32" s="44" t="s">
        <v>534</v>
      </c>
      <c r="C32" s="44" t="s">
        <v>34</v>
      </c>
      <c r="D32" s="44">
        <v>1</v>
      </c>
      <c r="E32" s="44">
        <v>7.7999999999999996E-3</v>
      </c>
      <c r="F32" s="44">
        <v>2</v>
      </c>
      <c r="G32" s="44">
        <v>3.7900000000000003E-2</v>
      </c>
      <c r="H32" s="44">
        <v>0.69</v>
      </c>
      <c r="I32" s="44"/>
    </row>
    <row r="33" spans="1:10" s="42" customFormat="1" x14ac:dyDescent="0.25">
      <c r="A33" s="44" t="s">
        <v>33</v>
      </c>
      <c r="B33" s="44" t="s">
        <v>534</v>
      </c>
      <c r="C33" s="44" t="s">
        <v>37</v>
      </c>
      <c r="D33" s="44">
        <v>1</v>
      </c>
      <c r="E33" s="44">
        <v>2.1000000000000001E-2</v>
      </c>
      <c r="F33" s="44">
        <v>1.33</v>
      </c>
      <c r="G33" s="44">
        <v>4.6300000000000001E-2</v>
      </c>
      <c r="H33" s="44">
        <v>0.75</v>
      </c>
      <c r="I33" s="44"/>
    </row>
    <row r="34" spans="1:10" s="42" customFormat="1" x14ac:dyDescent="0.25">
      <c r="A34" s="44" t="s">
        <v>33</v>
      </c>
      <c r="B34" s="44" t="s">
        <v>534</v>
      </c>
      <c r="C34" s="44" t="s">
        <v>38</v>
      </c>
      <c r="D34" s="44">
        <v>1</v>
      </c>
      <c r="E34" s="44">
        <v>3.4000000000000002E-2</v>
      </c>
      <c r="F34" s="44">
        <v>1.5</v>
      </c>
      <c r="G34" s="44">
        <v>5.5300000000000002E-2</v>
      </c>
      <c r="H34" s="44">
        <v>0.54</v>
      </c>
      <c r="I34" s="44"/>
    </row>
    <row r="35" spans="1:10" s="42" customFormat="1" x14ac:dyDescent="0.25">
      <c r="A35" s="44" t="s">
        <v>33</v>
      </c>
      <c r="B35" s="44" t="s">
        <v>93</v>
      </c>
      <c r="C35" s="44" t="s">
        <v>34</v>
      </c>
      <c r="D35" s="44">
        <v>1</v>
      </c>
      <c r="E35" s="44">
        <v>9.7999999999999997E-3</v>
      </c>
      <c r="F35" s="44">
        <v>2</v>
      </c>
      <c r="G35" s="44">
        <v>3.9800000000000002E-2</v>
      </c>
      <c r="H35" s="44">
        <v>0.67</v>
      </c>
      <c r="J35" s="42" t="s">
        <v>88</v>
      </c>
    </row>
    <row r="36" spans="1:10" s="42" customFormat="1" x14ac:dyDescent="0.25">
      <c r="A36" s="44" t="s">
        <v>33</v>
      </c>
      <c r="B36" s="44" t="s">
        <v>93</v>
      </c>
      <c r="C36" s="44" t="s">
        <v>37</v>
      </c>
      <c r="D36" s="44">
        <v>1</v>
      </c>
      <c r="E36" s="44">
        <v>2.1000000000000001E-2</v>
      </c>
      <c r="F36" s="44">
        <v>1.33</v>
      </c>
      <c r="G36" s="44">
        <v>4.6300000000000001E-2</v>
      </c>
      <c r="H36" s="44">
        <v>0.75</v>
      </c>
      <c r="J36" s="42" t="s">
        <v>89</v>
      </c>
    </row>
    <row r="37" spans="1:10" s="42" customFormat="1" x14ac:dyDescent="0.25">
      <c r="A37" s="44" t="s">
        <v>33</v>
      </c>
      <c r="B37" s="44" t="s">
        <v>95</v>
      </c>
      <c r="C37" s="44" t="s">
        <v>34</v>
      </c>
      <c r="D37" s="44">
        <v>1</v>
      </c>
      <c r="E37" s="44">
        <v>9.7999999999999997E-3</v>
      </c>
      <c r="F37" s="44">
        <v>2</v>
      </c>
      <c r="G37" s="44">
        <v>3.9800000000000002E-2</v>
      </c>
      <c r="H37" s="44">
        <v>0.67</v>
      </c>
      <c r="J37" s="42" t="s">
        <v>88</v>
      </c>
    </row>
    <row r="38" spans="1:10" s="42" customFormat="1" x14ac:dyDescent="0.25">
      <c r="A38" s="44" t="s">
        <v>33</v>
      </c>
      <c r="B38" s="44" t="s">
        <v>95</v>
      </c>
      <c r="C38" s="44" t="s">
        <v>38</v>
      </c>
      <c r="D38" s="44">
        <v>1</v>
      </c>
      <c r="E38" s="44">
        <v>3.4000000000000002E-2</v>
      </c>
      <c r="F38" s="44">
        <v>1.5</v>
      </c>
      <c r="G38" s="44">
        <v>5.5300000000000002E-2</v>
      </c>
      <c r="H38" s="44">
        <v>0.54</v>
      </c>
      <c r="J38" s="42" t="s">
        <v>90</v>
      </c>
    </row>
    <row r="39" spans="1:10" s="42" customFormat="1" x14ac:dyDescent="0.25">
      <c r="A39" s="44" t="s">
        <v>33</v>
      </c>
      <c r="B39" s="44" t="s">
        <v>95</v>
      </c>
      <c r="C39" s="44" t="s">
        <v>37</v>
      </c>
      <c r="D39" s="44">
        <v>1</v>
      </c>
      <c r="E39" s="44">
        <v>2.1000000000000001E-2</v>
      </c>
      <c r="F39" s="44">
        <v>1.33</v>
      </c>
      <c r="G39" s="44">
        <v>4.6300000000000001E-2</v>
      </c>
      <c r="H39" s="44">
        <v>0.75</v>
      </c>
      <c r="J39" s="42" t="s">
        <v>89</v>
      </c>
    </row>
    <row r="40" spans="1:10" s="42" customFormat="1" x14ac:dyDescent="0.25">
      <c r="A40" s="44" t="s">
        <v>33</v>
      </c>
      <c r="B40" s="44" t="s">
        <v>94</v>
      </c>
      <c r="C40" s="44" t="s">
        <v>34</v>
      </c>
      <c r="D40" s="44">
        <v>1</v>
      </c>
      <c r="E40" s="44">
        <v>7.7999999999999996E-3</v>
      </c>
      <c r="F40" s="44">
        <v>2</v>
      </c>
      <c r="G40" s="44">
        <v>3.7900000000000003E-2</v>
      </c>
      <c r="H40" s="44">
        <v>0.69</v>
      </c>
      <c r="J40" s="42" t="s">
        <v>91</v>
      </c>
    </row>
    <row r="41" spans="1:10" s="42" customFormat="1" x14ac:dyDescent="0.25">
      <c r="A41" s="44" t="s">
        <v>33</v>
      </c>
      <c r="B41" s="44" t="s">
        <v>94</v>
      </c>
      <c r="C41" s="44" t="s">
        <v>38</v>
      </c>
      <c r="D41" s="44">
        <v>1</v>
      </c>
      <c r="E41" s="44">
        <v>3.4000000000000002E-2</v>
      </c>
      <c r="F41" s="44">
        <v>1.5</v>
      </c>
      <c r="G41" s="44">
        <v>5.5300000000000002E-2</v>
      </c>
      <c r="H41" s="44">
        <v>0.54</v>
      </c>
      <c r="J41" s="42" t="s">
        <v>90</v>
      </c>
    </row>
    <row r="42" spans="1:10" s="42" customFormat="1" x14ac:dyDescent="0.25">
      <c r="A42" s="44" t="s">
        <v>33</v>
      </c>
      <c r="B42" s="44" t="s">
        <v>94</v>
      </c>
      <c r="C42" s="44" t="s">
        <v>37</v>
      </c>
      <c r="D42" s="44">
        <v>1</v>
      </c>
      <c r="E42" s="44">
        <v>2.1000000000000001E-2</v>
      </c>
      <c r="F42" s="44">
        <v>1.33</v>
      </c>
      <c r="G42" s="44">
        <v>4.6300000000000001E-2</v>
      </c>
      <c r="H42" s="44">
        <v>0.75</v>
      </c>
      <c r="J42" s="42" t="s">
        <v>89</v>
      </c>
    </row>
    <row r="43" spans="1:10" x14ac:dyDescent="0.25">
      <c r="A43" s="44" t="s">
        <v>33</v>
      </c>
      <c r="B43" s="44" t="s">
        <v>533</v>
      </c>
      <c r="C43" s="44" t="s">
        <v>34</v>
      </c>
      <c r="D43" s="44">
        <v>1</v>
      </c>
      <c r="E43" s="44">
        <v>7.7999999999999996E-3</v>
      </c>
      <c r="F43" s="44">
        <v>2</v>
      </c>
      <c r="G43" s="44">
        <v>3.7900000000000003E-2</v>
      </c>
      <c r="H43" s="44">
        <v>0.69</v>
      </c>
      <c r="I43" s="44"/>
    </row>
    <row r="44" spans="1:10" x14ac:dyDescent="0.25">
      <c r="A44" s="44" t="s">
        <v>33</v>
      </c>
      <c r="B44" s="44" t="s">
        <v>533</v>
      </c>
      <c r="C44" s="44" t="s">
        <v>37</v>
      </c>
      <c r="D44" s="44">
        <v>1</v>
      </c>
      <c r="E44" s="44">
        <v>2.1000000000000001E-2</v>
      </c>
      <c r="F44" s="44">
        <v>1.33</v>
      </c>
      <c r="G44" s="44">
        <v>4.6300000000000001E-2</v>
      </c>
      <c r="H44" s="44">
        <v>0.75</v>
      </c>
      <c r="I44" s="44"/>
    </row>
    <row r="45" spans="1:10" x14ac:dyDescent="0.25">
      <c r="A45" s="44" t="s">
        <v>33</v>
      </c>
      <c r="B45" s="44" t="s">
        <v>533</v>
      </c>
      <c r="C45" s="44" t="s">
        <v>38</v>
      </c>
      <c r="D45" s="44">
        <v>1</v>
      </c>
      <c r="E45" s="44">
        <v>3.4000000000000002E-2</v>
      </c>
      <c r="F45" s="44">
        <v>1.5</v>
      </c>
      <c r="G45" s="44">
        <v>5.5300000000000002E-2</v>
      </c>
      <c r="H45" s="44">
        <v>0.54</v>
      </c>
      <c r="I45" s="44"/>
    </row>
    <row r="46" spans="1:10" x14ac:dyDescent="0.25">
      <c r="A46" s="44" t="s">
        <v>33</v>
      </c>
      <c r="B46" s="44" t="s">
        <v>535</v>
      </c>
      <c r="C46" s="44" t="s">
        <v>34</v>
      </c>
      <c r="D46" s="44">
        <v>1</v>
      </c>
      <c r="E46" s="44">
        <v>7.7999999999999996E-3</v>
      </c>
      <c r="F46" s="44">
        <v>2</v>
      </c>
      <c r="G46" s="44">
        <v>3.7900000000000003E-2</v>
      </c>
      <c r="H46" s="44">
        <v>0.69</v>
      </c>
    </row>
    <row r="47" spans="1:10" x14ac:dyDescent="0.25">
      <c r="A47" s="44" t="s">
        <v>33</v>
      </c>
      <c r="B47" s="44" t="s">
        <v>535</v>
      </c>
      <c r="C47" s="44" t="s">
        <v>37</v>
      </c>
      <c r="D47" s="44">
        <v>1</v>
      </c>
      <c r="E47" s="44">
        <v>2.1000000000000001E-2</v>
      </c>
      <c r="F47" s="44">
        <v>1.33</v>
      </c>
      <c r="G47" s="44">
        <v>4.6300000000000001E-2</v>
      </c>
      <c r="H47" s="44">
        <v>0.75</v>
      </c>
    </row>
    <row r="48" spans="1:10" x14ac:dyDescent="0.25">
      <c r="A48" s="44" t="s">
        <v>33</v>
      </c>
      <c r="B48" s="44" t="s">
        <v>535</v>
      </c>
      <c r="C48" s="44" t="s">
        <v>38</v>
      </c>
      <c r="D48" s="44">
        <v>1</v>
      </c>
      <c r="E48" s="44">
        <v>3.4000000000000002E-2</v>
      </c>
      <c r="F48" s="44">
        <v>1.5</v>
      </c>
      <c r="G48" s="44">
        <v>5.5300000000000002E-2</v>
      </c>
      <c r="H48" s="44">
        <v>0.54</v>
      </c>
    </row>
    <row r="49" spans="1:3" x14ac:dyDescent="0.25">
      <c r="A49" s="1"/>
      <c r="C49" s="1"/>
    </row>
    <row r="50" spans="1:3" x14ac:dyDescent="0.25">
      <c r="A50" s="1"/>
      <c r="C50" s="1"/>
    </row>
    <row r="51" spans="1:3" x14ac:dyDescent="0.25">
      <c r="A51" s="1"/>
      <c r="C51" s="1"/>
    </row>
    <row r="52" spans="1:3" x14ac:dyDescent="0.25">
      <c r="A52" s="1"/>
      <c r="C52" s="1"/>
    </row>
    <row r="53" spans="1:3" x14ac:dyDescent="0.25">
      <c r="C53" s="1"/>
    </row>
    <row r="54" spans="1:3" x14ac:dyDescent="0.25">
      <c r="C54" s="1"/>
    </row>
    <row r="55" spans="1:3" x14ac:dyDescent="0.25">
      <c r="C55" s="1"/>
    </row>
    <row r="56" spans="1:3" x14ac:dyDescent="0.25">
      <c r="C56" s="1"/>
    </row>
    <row r="57" spans="1:3" x14ac:dyDescent="0.25">
      <c r="C57" s="1"/>
    </row>
    <row r="58" spans="1:3" x14ac:dyDescent="0.25">
      <c r="C58" s="1"/>
    </row>
    <row r="59" spans="1:3" x14ac:dyDescent="0.25">
      <c r="C59" s="1"/>
    </row>
    <row r="60" spans="1:3" x14ac:dyDescent="0.25">
      <c r="C60" s="1"/>
    </row>
    <row r="61" spans="1:3" x14ac:dyDescent="0.25">
      <c r="C61" s="1"/>
    </row>
    <row r="62" spans="1:3" x14ac:dyDescent="0.25">
      <c r="C62" s="1"/>
    </row>
    <row r="63" spans="1:3" x14ac:dyDescent="0.25">
      <c r="C63" s="1"/>
    </row>
    <row r="64" spans="1:3" x14ac:dyDescent="0.25">
      <c r="C64" s="1"/>
    </row>
    <row r="65" spans="3:3" x14ac:dyDescent="0.25">
      <c r="C65" s="1"/>
    </row>
    <row r="66" spans="3:3" x14ac:dyDescent="0.25">
      <c r="C66" s="1"/>
    </row>
    <row r="67" spans="3:3" x14ac:dyDescent="0.25">
      <c r="C67" s="1"/>
    </row>
    <row r="68" spans="3:3" x14ac:dyDescent="0.25">
      <c r="C68" s="1"/>
    </row>
    <row r="69" spans="3:3" x14ac:dyDescent="0.25">
      <c r="C69" s="1"/>
    </row>
    <row r="70" spans="3:3" x14ac:dyDescent="0.25">
      <c r="C70" s="1"/>
    </row>
    <row r="71" spans="3:3" x14ac:dyDescent="0.25">
      <c r="C71" s="1"/>
    </row>
    <row r="72" spans="3:3" x14ac:dyDescent="0.25">
      <c r="C72" s="1"/>
    </row>
    <row r="73" spans="3:3" x14ac:dyDescent="0.25">
      <c r="C73" s="1"/>
    </row>
    <row r="74" spans="3:3" x14ac:dyDescent="0.25">
      <c r="C74" s="1"/>
    </row>
    <row r="75" spans="3:3" x14ac:dyDescent="0.25">
      <c r="C75" s="1"/>
    </row>
    <row r="76" spans="3:3" x14ac:dyDescent="0.25">
      <c r="C76" s="1"/>
    </row>
    <row r="77" spans="3:3" x14ac:dyDescent="0.25">
      <c r="C77" s="1"/>
    </row>
    <row r="78" spans="3:3" x14ac:dyDescent="0.25">
      <c r="C78" s="1"/>
    </row>
    <row r="79" spans="3:3" x14ac:dyDescent="0.25">
      <c r="C79" s="1"/>
    </row>
    <row r="80" spans="3:3" x14ac:dyDescent="0.25">
      <c r="C80" s="1"/>
    </row>
    <row r="81" spans="3:3" x14ac:dyDescent="0.25">
      <c r="C81" s="1"/>
    </row>
    <row r="82" spans="3:3" x14ac:dyDescent="0.25">
      <c r="C82" s="1"/>
    </row>
    <row r="83" spans="3:3" x14ac:dyDescent="0.25">
      <c r="C83" s="1"/>
    </row>
    <row r="84" spans="3:3" x14ac:dyDescent="0.25">
      <c r="C84" s="1"/>
    </row>
    <row r="85" spans="3:3" x14ac:dyDescent="0.25">
      <c r="C85" s="1"/>
    </row>
    <row r="86" spans="3:3" x14ac:dyDescent="0.25">
      <c r="C86" s="1"/>
    </row>
    <row r="87" spans="3:3" x14ac:dyDescent="0.25">
      <c r="C87" s="1"/>
    </row>
    <row r="88" spans="3:3" x14ac:dyDescent="0.25">
      <c r="C88" s="1"/>
    </row>
    <row r="89" spans="3:3" x14ac:dyDescent="0.25">
      <c r="C89" s="1"/>
    </row>
    <row r="90" spans="3:3" x14ac:dyDescent="0.25">
      <c r="C90" s="1"/>
    </row>
    <row r="91" spans="3:3" x14ac:dyDescent="0.25">
      <c r="C91" s="1"/>
    </row>
    <row r="92" spans="3:3" x14ac:dyDescent="0.25">
      <c r="C92" s="1"/>
    </row>
    <row r="93" spans="3:3" x14ac:dyDescent="0.25">
      <c r="C93" s="1"/>
    </row>
    <row r="94" spans="3:3" x14ac:dyDescent="0.25">
      <c r="C94" s="1"/>
    </row>
    <row r="95" spans="3:3" x14ac:dyDescent="0.25">
      <c r="C95" s="1"/>
    </row>
    <row r="96" spans="3:3" x14ac:dyDescent="0.25">
      <c r="C96" s="1"/>
    </row>
    <row r="97" spans="3:3" x14ac:dyDescent="0.25">
      <c r="C97" s="1"/>
    </row>
    <row r="98" spans="3:3" x14ac:dyDescent="0.25">
      <c r="C98" s="1"/>
    </row>
    <row r="99" spans="3:3" x14ac:dyDescent="0.25">
      <c r="C99" s="1"/>
    </row>
    <row r="100" spans="3:3" x14ac:dyDescent="0.25">
      <c r="C100" s="1"/>
    </row>
    <row r="101" spans="3:3" x14ac:dyDescent="0.25">
      <c r="C101" s="1"/>
    </row>
    <row r="102" spans="3:3" x14ac:dyDescent="0.25">
      <c r="C102" s="1"/>
    </row>
    <row r="103" spans="3:3" x14ac:dyDescent="0.25">
      <c r="C103" s="1"/>
    </row>
    <row r="104" spans="3:3" x14ac:dyDescent="0.25">
      <c r="C104" s="1"/>
    </row>
    <row r="105" spans="3:3" x14ac:dyDescent="0.25">
      <c r="C105" s="1"/>
    </row>
    <row r="106" spans="3:3" x14ac:dyDescent="0.25">
      <c r="C106" s="1"/>
    </row>
    <row r="107" spans="3:3" x14ac:dyDescent="0.25">
      <c r="C107" s="1"/>
    </row>
    <row r="108" spans="3:3" x14ac:dyDescent="0.25">
      <c r="C108" s="1"/>
    </row>
    <row r="109" spans="3:3" x14ac:dyDescent="0.25">
      <c r="C109" s="1"/>
    </row>
    <row r="110" spans="3:3" x14ac:dyDescent="0.25">
      <c r="C110" s="1"/>
    </row>
    <row r="111" spans="3:3" x14ac:dyDescent="0.25">
      <c r="C111" s="1"/>
    </row>
    <row r="112" spans="3:3" x14ac:dyDescent="0.25">
      <c r="C112" s="1"/>
    </row>
    <row r="113" spans="3:3" x14ac:dyDescent="0.25">
      <c r="C113" s="1"/>
    </row>
    <row r="114" spans="3:3" x14ac:dyDescent="0.25">
      <c r="C114" s="1"/>
    </row>
    <row r="115" spans="3:3" x14ac:dyDescent="0.25">
      <c r="C115" s="1"/>
    </row>
    <row r="116" spans="3:3" x14ac:dyDescent="0.25">
      <c r="C116" s="1"/>
    </row>
    <row r="117" spans="3:3" x14ac:dyDescent="0.25">
      <c r="C117" s="1"/>
    </row>
    <row r="118" spans="3:3" x14ac:dyDescent="0.25">
      <c r="C118" s="1"/>
    </row>
    <row r="119" spans="3:3" x14ac:dyDescent="0.25">
      <c r="C119" s="1"/>
    </row>
    <row r="120" spans="3:3" x14ac:dyDescent="0.25">
      <c r="C120" s="1"/>
    </row>
    <row r="121" spans="3:3" x14ac:dyDescent="0.25">
      <c r="C121" s="1"/>
    </row>
    <row r="122" spans="3:3" x14ac:dyDescent="0.25">
      <c r="C122" s="1"/>
    </row>
    <row r="123" spans="3:3" x14ac:dyDescent="0.25">
      <c r="C123" s="1"/>
    </row>
  </sheetData>
  <sheetProtection algorithmName="SHA-512" hashValue="l/2TQnwfeOUDnv9yagiLlOoU0RWuGXK82kpdnU4P48QSm4GkrOwLdL6GolX1DdsG/xTa8bFN6TRamVCkWoY+NQ==" saltValue="6IfaG6lJFva1ZJ0JcAAzjw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42"/>
  <sheetViews>
    <sheetView showGridLines="0" zoomScale="75" zoomScaleNormal="75" workbookViewId="0">
      <selection activeCell="K31" sqref="K31"/>
    </sheetView>
  </sheetViews>
  <sheetFormatPr defaultRowHeight="15" x14ac:dyDescent="0.25"/>
  <sheetData>
    <row r="1" spans="1:25" ht="31.5" x14ac:dyDescent="0.5">
      <c r="A1" s="50" t="s">
        <v>123</v>
      </c>
    </row>
    <row r="2" spans="1:25" ht="31.5" x14ac:dyDescent="0.5">
      <c r="A2" s="50"/>
      <c r="K2" s="53"/>
    </row>
    <row r="3" spans="1:25" ht="31.5" x14ac:dyDescent="0.5">
      <c r="A3" s="50"/>
    </row>
    <row r="16" spans="1:25" ht="23.25" x14ac:dyDescent="0.35">
      <c r="A16" s="51" t="s">
        <v>126</v>
      </c>
      <c r="M16" s="52" t="s">
        <v>129</v>
      </c>
      <c r="Y16" s="52" t="s">
        <v>130</v>
      </c>
    </row>
    <row r="17" spans="2:26" ht="23.25" x14ac:dyDescent="0.35">
      <c r="B17" s="51" t="s">
        <v>125</v>
      </c>
      <c r="N17" s="51" t="s">
        <v>128</v>
      </c>
      <c r="Z17" s="51" t="s">
        <v>127</v>
      </c>
    </row>
    <row r="18" spans="2:26" ht="23.25" x14ac:dyDescent="0.35">
      <c r="B18" s="51"/>
      <c r="N18" s="51"/>
      <c r="Z18" s="51"/>
    </row>
    <row r="19" spans="2:26" ht="23.25" x14ac:dyDescent="0.35">
      <c r="B19" s="51"/>
      <c r="N19" s="51"/>
      <c r="Z19" s="51"/>
    </row>
    <row r="40" spans="1:26" ht="23.25" x14ac:dyDescent="0.35">
      <c r="A40" s="52" t="s">
        <v>131</v>
      </c>
      <c r="M40" s="52" t="s">
        <v>135</v>
      </c>
      <c r="Y40" s="52" t="s">
        <v>136</v>
      </c>
    </row>
    <row r="41" spans="1:26" ht="23.25" x14ac:dyDescent="0.35">
      <c r="B41" s="51" t="s">
        <v>132</v>
      </c>
      <c r="N41" s="51" t="s">
        <v>133</v>
      </c>
      <c r="Z41" s="51" t="s">
        <v>124</v>
      </c>
    </row>
    <row r="42" spans="1:26" ht="23.25" x14ac:dyDescent="0.35">
      <c r="N42" s="51" t="s">
        <v>134</v>
      </c>
    </row>
  </sheetData>
  <sheetProtection password="CB73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46"/>
  <sheetViews>
    <sheetView zoomScaleNormal="100" workbookViewId="0"/>
  </sheetViews>
  <sheetFormatPr defaultRowHeight="15" x14ac:dyDescent="0.25"/>
  <cols>
    <col min="1" max="1" width="12" style="3" bestFit="1" customWidth="1"/>
    <col min="2" max="9" width="9.140625" style="3"/>
    <col min="10" max="10" width="15" style="3" customWidth="1"/>
    <col min="11" max="16384" width="9.140625" style="3"/>
  </cols>
  <sheetData>
    <row r="1" spans="1:20" x14ac:dyDescent="0.25">
      <c r="A1" s="3" t="str">
        <f>'Culvert Analysis'!G1</f>
        <v>IaCulvertDesign.xlsm V1.0</v>
      </c>
      <c r="J1" s="107">
        <v>43074</v>
      </c>
    </row>
    <row r="2" spans="1:20" x14ac:dyDescent="0.25">
      <c r="A2" s="107" t="s">
        <v>536</v>
      </c>
    </row>
    <row r="3" spans="1:20" x14ac:dyDescent="0.25">
      <c r="A3" s="3" t="s">
        <v>537</v>
      </c>
    </row>
    <row r="4" spans="1:20" x14ac:dyDescent="0.25">
      <c r="A4" s="107"/>
    </row>
    <row r="5" spans="1:20" s="98" customFormat="1" ht="21" x14ac:dyDescent="0.35">
      <c r="A5" s="97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s="98" customFormat="1" ht="21" x14ac:dyDescent="0.35">
      <c r="A6" s="98" t="s">
        <v>222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1" x14ac:dyDescent="0.35">
      <c r="A7" s="98" t="s">
        <v>223</v>
      </c>
      <c r="B7" s="98"/>
    </row>
    <row r="8" spans="1:20" ht="21" x14ac:dyDescent="0.35">
      <c r="A8" s="98"/>
      <c r="B8" s="98"/>
    </row>
    <row r="9" spans="1:20" ht="21" x14ac:dyDescent="0.35">
      <c r="A9" s="98" t="s">
        <v>516</v>
      </c>
      <c r="B9" s="98"/>
    </row>
    <row r="10" spans="1:20" ht="21" x14ac:dyDescent="0.35">
      <c r="A10" s="98" t="s">
        <v>517</v>
      </c>
      <c r="B10" s="98"/>
    </row>
    <row r="12" spans="1:20" ht="21" x14ac:dyDescent="0.35">
      <c r="A12" s="97" t="s">
        <v>83</v>
      </c>
    </row>
    <row r="13" spans="1:20" ht="21" x14ac:dyDescent="0.35">
      <c r="A13" s="98" t="s">
        <v>218</v>
      </c>
      <c r="B13" s="98"/>
    </row>
    <row r="14" spans="1:20" ht="21" x14ac:dyDescent="0.35">
      <c r="A14" s="98" t="s">
        <v>234</v>
      </c>
      <c r="B14" s="98"/>
    </row>
    <row r="15" spans="1:20" ht="21" x14ac:dyDescent="0.35">
      <c r="A15" s="98" t="s">
        <v>171</v>
      </c>
      <c r="B15" s="98"/>
    </row>
    <row r="16" spans="1:20" ht="21" x14ac:dyDescent="0.35">
      <c r="A16" s="98" t="s">
        <v>170</v>
      </c>
      <c r="B16" s="98"/>
    </row>
    <row r="17" spans="1:2" ht="21" x14ac:dyDescent="0.35">
      <c r="A17" s="98" t="s">
        <v>167</v>
      </c>
      <c r="B17" s="98"/>
    </row>
    <row r="18" spans="1:2" ht="21" x14ac:dyDescent="0.35">
      <c r="A18" s="98" t="s">
        <v>217</v>
      </c>
      <c r="B18" s="98"/>
    </row>
    <row r="19" spans="1:2" ht="21" x14ac:dyDescent="0.35">
      <c r="A19" s="98" t="s">
        <v>159</v>
      </c>
      <c r="B19" s="98"/>
    </row>
    <row r="20" spans="1:2" ht="21" x14ac:dyDescent="0.35">
      <c r="A20" s="98" t="s">
        <v>172</v>
      </c>
      <c r="B20" s="98"/>
    </row>
    <row r="21" spans="1:2" ht="21" x14ac:dyDescent="0.35">
      <c r="A21" s="98"/>
      <c r="B21" s="98"/>
    </row>
    <row r="22" spans="1:2" ht="21" x14ac:dyDescent="0.35">
      <c r="A22" s="98" t="s">
        <v>160</v>
      </c>
      <c r="B22" s="98"/>
    </row>
    <row r="23" spans="1:2" ht="21" x14ac:dyDescent="0.35">
      <c r="A23" s="98" t="s">
        <v>173</v>
      </c>
      <c r="B23" s="98"/>
    </row>
    <row r="24" spans="1:2" ht="21" x14ac:dyDescent="0.35">
      <c r="A24" s="98" t="s">
        <v>168</v>
      </c>
      <c r="B24" s="98"/>
    </row>
    <row r="25" spans="1:2" ht="21" x14ac:dyDescent="0.35">
      <c r="A25" s="98" t="s">
        <v>169</v>
      </c>
      <c r="B25" s="98"/>
    </row>
    <row r="26" spans="1:2" ht="21" x14ac:dyDescent="0.35">
      <c r="A26" s="98"/>
      <c r="B26" s="98"/>
    </row>
    <row r="27" spans="1:2" ht="21" x14ac:dyDescent="0.35">
      <c r="A27" s="98"/>
      <c r="B27" s="98"/>
    </row>
    <row r="28" spans="1:2" ht="21" x14ac:dyDescent="0.35">
      <c r="A28" s="97" t="s">
        <v>84</v>
      </c>
      <c r="B28" s="98"/>
    </row>
    <row r="29" spans="1:2" ht="21" x14ac:dyDescent="0.35">
      <c r="A29" s="98" t="s">
        <v>137</v>
      </c>
      <c r="B29" s="98"/>
    </row>
    <row r="30" spans="1:2" ht="21" x14ac:dyDescent="0.35">
      <c r="A30" s="98" t="s">
        <v>122</v>
      </c>
      <c r="B30" s="98"/>
    </row>
    <row r="31" spans="1:2" ht="21" x14ac:dyDescent="0.35">
      <c r="A31" s="98" t="s">
        <v>174</v>
      </c>
      <c r="B31" s="98"/>
    </row>
    <row r="32" spans="1:2" ht="21" x14ac:dyDescent="0.35">
      <c r="A32" s="98" t="s">
        <v>175</v>
      </c>
      <c r="B32" s="98"/>
    </row>
    <row r="33" spans="1:2" ht="21" x14ac:dyDescent="0.35">
      <c r="A33" s="98"/>
      <c r="B33" s="98"/>
    </row>
    <row r="34" spans="1:2" ht="21" x14ac:dyDescent="0.35">
      <c r="A34" s="98"/>
      <c r="B34" s="98"/>
    </row>
    <row r="35" spans="1:2" ht="21" x14ac:dyDescent="0.35">
      <c r="A35" s="98" t="s">
        <v>138</v>
      </c>
      <c r="B35" s="98"/>
    </row>
    <row r="36" spans="1:2" ht="21" x14ac:dyDescent="0.35">
      <c r="A36" s="98" t="s">
        <v>108</v>
      </c>
      <c r="B36" s="98"/>
    </row>
    <row r="37" spans="1:2" ht="21" x14ac:dyDescent="0.35">
      <c r="A37" s="98" t="s">
        <v>96</v>
      </c>
      <c r="B37" s="98"/>
    </row>
    <row r="38" spans="1:2" ht="21" x14ac:dyDescent="0.35">
      <c r="A38" s="98" t="s">
        <v>97</v>
      </c>
    </row>
    <row r="46" spans="1:2" ht="23.25" x14ac:dyDescent="0.35">
      <c r="A46" s="68" t="s">
        <v>219</v>
      </c>
    </row>
  </sheetData>
  <sheetProtection algorithmName="SHA-512" hashValue="kOTXzgiblizUtUc+82gHudV8iQ6A53Mcf3St8D0fB3VHj0iexnpgxqUjcWGmzwJMpqdprP+kk7uLcyc7+GO3Tw==" saltValue="XtcHOGDNix/ZbBCl8xJUOA==" spinCount="100000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N103"/>
  <sheetViews>
    <sheetView workbookViewId="0"/>
  </sheetViews>
  <sheetFormatPr defaultRowHeight="15" x14ac:dyDescent="0.25"/>
  <sheetData>
    <row r="1" spans="1:1" ht="18.75" x14ac:dyDescent="0.3">
      <c r="A1" s="96" t="s">
        <v>521</v>
      </c>
    </row>
    <row r="2" spans="1:1" x14ac:dyDescent="0.25">
      <c r="A2" t="s">
        <v>222</v>
      </c>
    </row>
    <row r="3" spans="1:1" ht="15.75" x14ac:dyDescent="0.25">
      <c r="A3" s="92" t="s">
        <v>225</v>
      </c>
    </row>
    <row r="4" spans="1:1" x14ac:dyDescent="0.25">
      <c r="A4" t="s">
        <v>233</v>
      </c>
    </row>
    <row r="5" spans="1:1" ht="18.75" x14ac:dyDescent="0.3">
      <c r="A5" s="93" t="s">
        <v>228</v>
      </c>
    </row>
    <row r="7" spans="1:1" x14ac:dyDescent="0.25">
      <c r="A7" t="s">
        <v>221</v>
      </c>
    </row>
    <row r="11" spans="1:1" x14ac:dyDescent="0.25">
      <c r="A11" t="s">
        <v>220</v>
      </c>
    </row>
    <row r="18" spans="14:14" ht="21" x14ac:dyDescent="0.35">
      <c r="N18" s="91"/>
    </row>
    <row r="33" spans="1:1" x14ac:dyDescent="0.25">
      <c r="A33" t="s">
        <v>176</v>
      </c>
    </row>
    <row r="34" spans="1:1" x14ac:dyDescent="0.25">
      <c r="A34" t="s">
        <v>177</v>
      </c>
    </row>
    <row r="66" spans="1:1" x14ac:dyDescent="0.25">
      <c r="A66" t="s">
        <v>178</v>
      </c>
    </row>
    <row r="95" spans="1:1" x14ac:dyDescent="0.25">
      <c r="A95" t="s">
        <v>179</v>
      </c>
    </row>
    <row r="96" spans="1:1" x14ac:dyDescent="0.25">
      <c r="A96" t="s">
        <v>180</v>
      </c>
    </row>
    <row r="98" spans="1:1" x14ac:dyDescent="0.25">
      <c r="A98" t="s">
        <v>181</v>
      </c>
    </row>
    <row r="99" spans="1:1" x14ac:dyDescent="0.25">
      <c r="A99" t="s">
        <v>182</v>
      </c>
    </row>
    <row r="100" spans="1:1" x14ac:dyDescent="0.25">
      <c r="A100" t="s">
        <v>183</v>
      </c>
    </row>
    <row r="101" spans="1:1" x14ac:dyDescent="0.25">
      <c r="A101" t="s">
        <v>184</v>
      </c>
    </row>
    <row r="102" spans="1:1" x14ac:dyDescent="0.25">
      <c r="A102" t="s">
        <v>526</v>
      </c>
    </row>
    <row r="103" spans="1:1" x14ac:dyDescent="0.25">
      <c r="A103" t="s">
        <v>185</v>
      </c>
    </row>
  </sheetData>
  <sheetProtection password="CB73" sheet="1" objects="1" scenarios="1" selectLockedCells="1"/>
  <pageMargins left="0.7" right="0.7" top="0.75" bottom="0.75" header="0.3" footer="0.3"/>
  <pageSetup scale="7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PrintInstructions">
                <anchor moveWithCells="1" sizeWithCells="1">
                  <from>
                    <xdr:col>11</xdr:col>
                    <xdr:colOff>19050</xdr:colOff>
                    <xdr:row>3</xdr:row>
                    <xdr:rowOff>95250</xdr:rowOff>
                  </from>
                  <to>
                    <xdr:col>12</xdr:col>
                    <xdr:colOff>533400</xdr:colOff>
                    <xdr:row>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N103"/>
  <sheetViews>
    <sheetView workbookViewId="0"/>
  </sheetViews>
  <sheetFormatPr defaultRowHeight="15" x14ac:dyDescent="0.25"/>
  <sheetData>
    <row r="1" spans="1:1" ht="18.75" x14ac:dyDescent="0.3">
      <c r="A1" s="96" t="s">
        <v>518</v>
      </c>
    </row>
    <row r="3" spans="1:1" ht="15.75" x14ac:dyDescent="0.25">
      <c r="A3" s="92" t="s">
        <v>225</v>
      </c>
    </row>
    <row r="4" spans="1:1" ht="15.75" x14ac:dyDescent="0.25">
      <c r="A4" s="92" t="s">
        <v>519</v>
      </c>
    </row>
    <row r="5" spans="1:1" ht="18.75" x14ac:dyDescent="0.3">
      <c r="A5" s="93" t="s">
        <v>228</v>
      </c>
    </row>
    <row r="7" spans="1:1" x14ac:dyDescent="0.25">
      <c r="A7" t="s">
        <v>527</v>
      </c>
    </row>
    <row r="11" spans="1:1" x14ac:dyDescent="0.25">
      <c r="A11" t="s">
        <v>520</v>
      </c>
    </row>
    <row r="18" spans="14:14" ht="21" x14ac:dyDescent="0.35">
      <c r="N18" s="91"/>
    </row>
    <row r="33" spans="1:1" x14ac:dyDescent="0.25">
      <c r="A33" t="s">
        <v>528</v>
      </c>
    </row>
    <row r="34" spans="1:1" x14ac:dyDescent="0.25">
      <c r="A34" t="s">
        <v>529</v>
      </c>
    </row>
    <row r="66" spans="1:1" x14ac:dyDescent="0.25">
      <c r="A66" t="s">
        <v>522</v>
      </c>
    </row>
    <row r="67" spans="1:1" x14ac:dyDescent="0.25">
      <c r="A67" t="s">
        <v>523</v>
      </c>
    </row>
    <row r="98" spans="1:1" x14ac:dyDescent="0.25">
      <c r="A98" t="s">
        <v>524</v>
      </c>
    </row>
    <row r="99" spans="1:1" x14ac:dyDescent="0.25">
      <c r="A99" t="s">
        <v>525</v>
      </c>
    </row>
    <row r="101" spans="1:1" x14ac:dyDescent="0.25">
      <c r="A101" t="s">
        <v>184</v>
      </c>
    </row>
    <row r="102" spans="1:1" x14ac:dyDescent="0.25">
      <c r="A102" t="s">
        <v>530</v>
      </c>
    </row>
    <row r="103" spans="1:1" x14ac:dyDescent="0.25">
      <c r="A103" t="s">
        <v>185</v>
      </c>
    </row>
  </sheetData>
  <sheetProtection password="CB73" sheet="1" objects="1" scenarios="1" selectLockedCells="1" selectUnlockedCells="1"/>
  <pageMargins left="0.7" right="0.7" top="0.75" bottom="0.75" header="0.3" footer="0.3"/>
  <pageSetup scale="7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Pict="0" macro="[0]!PrintInstructions">
                <anchor moveWithCells="1" sizeWithCells="1">
                  <from>
                    <xdr:col>11</xdr:col>
                    <xdr:colOff>466725</xdr:colOff>
                    <xdr:row>3</xdr:row>
                    <xdr:rowOff>85725</xdr:rowOff>
                  </from>
                  <to>
                    <xdr:col>13</xdr:col>
                    <xdr:colOff>371475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Culvert Analysis</vt:lpstr>
      <vt:lpstr>Culvert Data</vt:lpstr>
      <vt:lpstr>Culvert Entrance Conditions</vt:lpstr>
      <vt:lpstr>Help Information</vt:lpstr>
      <vt:lpstr>help for macros</vt:lpstr>
      <vt:lpstr>Help for Macros Excel 2010</vt:lpstr>
      <vt:lpstr>CMP</vt:lpstr>
      <vt:lpstr>CMP_2.67x0.5</vt:lpstr>
      <vt:lpstr>CMP_3x1</vt:lpstr>
      <vt:lpstr>CONCRETE</vt:lpstr>
      <vt:lpstr>Corrugated_PE</vt:lpstr>
      <vt:lpstr>Culv_Entrance</vt:lpstr>
      <vt:lpstr>Culv_Material</vt:lpstr>
      <vt:lpstr>Culv_n_Values</vt:lpstr>
      <vt:lpstr>Culvert_Material</vt:lpstr>
      <vt:lpstr>'Culvert Analysis'!Print_Area</vt:lpstr>
      <vt:lpstr>'help for macros'!Print_Area</vt:lpstr>
      <vt:lpstr>'Help for Macros Excel 2010'!Print_Area</vt:lpstr>
      <vt:lpstr>PVC_Plastic</vt:lpstr>
      <vt:lpstr>Smooth_HDPE</vt:lpstr>
      <vt:lpstr>Welded_Steel</vt:lpstr>
    </vt:vector>
  </TitlesOfParts>
  <Company>USDA OCIO-ITS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Culvert Design</dc:title>
  <dc:subject>Version March 2011</dc:subject>
  <dc:creator>Annette.Humpal</dc:creator>
  <dc:description>This includes significant revisions to the version 9-10 culvert spreadsheet.  In addition, the version 9-10 spreadsheet would not consistently run in MS Office Excel 2007.</dc:description>
  <cp:lastModifiedBy>Friedrich, Norman - NRCS, West Union, IA</cp:lastModifiedBy>
  <cp:lastPrinted>2017-12-05T17:25:42Z</cp:lastPrinted>
  <dcterms:created xsi:type="dcterms:W3CDTF">2011-03-23T14:41:16Z</dcterms:created>
  <dcterms:modified xsi:type="dcterms:W3CDTF">2017-12-05T17:28:51Z</dcterms:modified>
</cp:coreProperties>
</file>