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6_0.bin" ContentType="application/vnd.openxmlformats-officedocument.oleObject"/>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155" windowHeight="8370" tabRatio="717" activeTab="0"/>
  </bookViews>
  <sheets>
    <sheet name="Design" sheetId="1" r:id="rId1"/>
    <sheet name="Profile" sheetId="2" r:id="rId2"/>
    <sheet name="QTYs" sheetId="3" r:id="rId3"/>
    <sheet name="Drawing" sheetId="4" r:id="rId4"/>
    <sheet name="Checkout Sheet" sheetId="5" r:id="rId5"/>
    <sheet name="Specs" sheetId="6" r:id="rId6"/>
    <sheet name="TN-516-6 O&amp;M" sheetId="7" r:id="rId7"/>
    <sheet name="Reference " sheetId="8" r:id="rId8"/>
    <sheet name="Notes" sheetId="9" r:id="rId9"/>
  </sheets>
  <definedNames>
    <definedName name="OLE_LINK1" localSheetId="6">'TN-516-6 O&amp;M'!$A$1</definedName>
    <definedName name="_xlnm.Print_Area" localSheetId="4">'Checkout Sheet'!$A$1:$I$68</definedName>
    <definedName name="_xlnm.Print_Area" localSheetId="0">'Design'!$A$1:$AE$70</definedName>
    <definedName name="_xlnm.Print_Area" localSheetId="3">'Drawing'!$A$1:$N$36</definedName>
    <definedName name="_xlnm.Print_Area" localSheetId="2">'QTYs'!$A$13:$K$65</definedName>
    <definedName name="_xlnm.Print_Area" localSheetId="7">'Reference '!$A$14:$J$99</definedName>
    <definedName name="_xlnm.Print_Area" localSheetId="5">'Specs'!$A$1:$J$55</definedName>
    <definedName name="_xlnm.Print_Area" localSheetId="6">'TN-516-6 O&amp;M'!$A$1:$I$44</definedName>
  </definedNames>
  <calcPr fullCalcOnLoad="1"/>
</workbook>
</file>

<file path=xl/comments1.xml><?xml version="1.0" encoding="utf-8"?>
<comments xmlns="http://schemas.openxmlformats.org/spreadsheetml/2006/main">
  <authors>
    <author>Administrator</author>
    <author>Ruth Book</author>
    <author>USDA-MDIOL00000D420</author>
  </authors>
  <commentList>
    <comment ref="C17" authorId="0">
      <text>
        <r>
          <rPr>
            <b/>
            <sz val="8"/>
            <rFont val="Tahoma"/>
            <family val="0"/>
          </rPr>
          <t>One animal unit (A.U.) equals 1000 lb. live animal weight.
Trough size and refill rates are determined using 12 gal/day per head (cattle), as required in TN-516.</t>
        </r>
      </text>
    </comment>
    <comment ref="K15" authorId="0">
      <text>
        <r>
          <rPr>
            <b/>
            <sz val="8"/>
            <rFont val="Tahoma"/>
            <family val="0"/>
          </rPr>
          <t>15 inches of access space is allowed for each animal: 1/25th of the herd if the trough is close by, and 1/10 of the herd if long trough distance or beyond animal sight.
NOTE: the 15" per animal access space is for cattle.  Smaller animals such as sheep require only 10" per animal.  Therefore, the required linear access will be 2/3 of the reported value in the case of smaller animals.</t>
        </r>
      </text>
    </comment>
    <comment ref="C28" authorId="0">
      <text>
        <r>
          <rPr>
            <b/>
            <sz val="8"/>
            <rFont val="Tahoma"/>
            <family val="0"/>
          </rPr>
          <t>If laterals join this pipeline, enter their design flows and ID numbers or labels at the appropriate station.</t>
        </r>
      </text>
    </comment>
    <comment ref="A30" authorId="0">
      <text>
        <r>
          <rPr>
            <b/>
            <sz val="8"/>
            <rFont val="Tahoma"/>
            <family val="0"/>
          </rPr>
          <t>Make sure that the station in cell A30 is the beginning of the pipeline being designed.</t>
        </r>
      </text>
    </comment>
    <comment ref="E28" authorId="0">
      <text>
        <r>
          <rPr>
            <b/>
            <sz val="8"/>
            <rFont val="Tahoma"/>
            <family val="0"/>
          </rPr>
          <t>Select a pipe size for the reach of pipe from the previous station.  Schedule 40 plastic pipe is assumed.
* Smaller pipe sizes are not recommended for new designs.</t>
        </r>
      </text>
    </comment>
    <comment ref="C29" authorId="0">
      <text>
        <r>
          <rPr>
            <b/>
            <sz val="8"/>
            <rFont val="Tahoma"/>
            <family val="0"/>
          </rPr>
          <t>Enter a flow in column C  at the appropriate station ONLY IF the lateral must flow at the same time as the pipeline being designed.
If livestock water supply inputs were left blank above, the minimum design flowrate to the end of the line (without simultaneous flow to laterals) is 3 gpm.  Otherwise, the refill rate in H17 is sent to the end of the pipeline (and all point in between).</t>
        </r>
      </text>
    </comment>
    <comment ref="J28" authorId="0">
      <text>
        <r>
          <rPr>
            <b/>
            <sz val="8"/>
            <rFont val="Tahoma"/>
            <family val="0"/>
          </rPr>
          <t xml:space="preserve">Hydraulic Grade Line (HGL)
The HGL value at the appropriate station is used as the supply head when designing any lateral.
The HGL must be above the elevation of the pipeline for proper flow.  Flagged warnings:
</t>
        </r>
        <r>
          <rPr>
            <b/>
            <strike/>
            <sz val="8"/>
            <color indexed="10"/>
            <rFont val="Tahoma"/>
            <family val="2"/>
          </rPr>
          <t>Red:</t>
        </r>
        <r>
          <rPr>
            <b/>
            <sz val="8"/>
            <rFont val="Tahoma"/>
            <family val="0"/>
          </rPr>
          <t xml:space="preserve"> HGL is below pipeline
</t>
        </r>
        <r>
          <rPr>
            <b/>
            <sz val="8"/>
            <color indexed="12"/>
            <rFont val="Tahoma"/>
            <family val="2"/>
          </rPr>
          <t>Blue:</t>
        </r>
        <r>
          <rPr>
            <b/>
            <sz val="8"/>
            <rFont val="Tahoma"/>
            <family val="0"/>
          </rPr>
          <t xml:space="preserve"> HGL is below 25 ft. (~10 psi) clearance head factor of safety. (Not a concern in gravity flow systems) 
To correct for flagged warnings, raise the HGL and/or lower the pipeline.  Possible ways to do this include:
1. Choose a larger pipe size upstream of the flag
2. Increase pump pressure or supply tank elevation
3. Bury the pipe more
4. Reduce the refill rate or the pump horsepower
</t>
        </r>
      </text>
    </comment>
    <comment ref="H28" authorId="0">
      <text>
        <r>
          <rPr>
            <b/>
            <sz val="8"/>
            <rFont val="Tahoma"/>
            <family val="0"/>
          </rPr>
          <t>Use the table (Reference sheet) to determine an equivalent pipe length (in feet) representing fittings and valves at applicable stations.</t>
        </r>
      </text>
    </comment>
    <comment ref="G28" authorId="0">
      <text>
        <r>
          <rPr>
            <b/>
            <sz val="8"/>
            <rFont val="Tahoma"/>
            <family val="0"/>
          </rPr>
          <t>Grade at which the pipeline will be laid.</t>
        </r>
      </text>
    </comment>
    <comment ref="F28" authorId="0">
      <text>
        <r>
          <rPr>
            <b/>
            <sz val="8"/>
            <rFont val="Tahoma"/>
            <family val="0"/>
          </rPr>
          <t>Depth (or cut) refers to how deep the centerline of the pipe is buried below the surveyed grade.</t>
        </r>
      </text>
    </comment>
    <comment ref="C24" authorId="0">
      <text>
        <r>
          <rPr>
            <b/>
            <sz val="8"/>
            <rFont val="Tahoma"/>
            <family val="0"/>
          </rPr>
          <t xml:space="preserve">"Actual Flow Desired"  is applicable when you're designing the "Gravity Flow", the "Lateral" and the "Public Water Supply" type systems.  Enter in cell C24 the recommended refill rate from above, OR your own desired flow for the pipeline being designed. 
"Pump Selected" is applicable when designing a pumped main system,allowing you to select a different pump size from the one recommended (a standard pump size, for example). </t>
        </r>
      </text>
    </comment>
    <comment ref="L28" authorId="0">
      <text>
        <r>
          <rPr>
            <b/>
            <sz val="8"/>
            <rFont val="Tahoma"/>
            <family val="0"/>
          </rPr>
          <t>Maximum allowable pipe pressure is 72% of the pipe pressure rating.</t>
        </r>
      </text>
    </comment>
    <comment ref="K28" authorId="0">
      <text>
        <r>
          <rPr>
            <b/>
            <sz val="8"/>
            <rFont val="Tahoma"/>
            <family val="0"/>
          </rPr>
          <t>Maximum allowable velocity is 5 ft/sec.</t>
        </r>
      </text>
    </comment>
    <comment ref="H24" authorId="0">
      <text>
        <r>
          <rPr>
            <b/>
            <sz val="8"/>
            <rFont val="Tahoma"/>
            <family val="0"/>
          </rPr>
          <t>Use the reported efficiency from manufacturer's pump rating curve, or 50% is a reasonable estimate.</t>
        </r>
      </text>
    </comment>
    <comment ref="H23" authorId="0">
      <text>
        <r>
          <rPr>
            <b/>
            <sz val="8"/>
            <rFont val="Tahoma"/>
            <family val="0"/>
          </rPr>
          <t>Enter the elevation of the well water during operation, at its lowest expected level (in the dryest part of the year).
This elevation must be lower than the pipeline at station 0+00 in B30.  If 0.00ft is used in B30, negative numbers for depth to water will suffice.</t>
        </r>
      </text>
    </comment>
    <comment ref="H22" authorId="0">
      <text>
        <r>
          <rPr>
            <b/>
            <sz val="8"/>
            <rFont val="Tahoma"/>
            <family val="0"/>
          </rPr>
          <t>Pumps with a cut-out (maximum) pressure under 80 psi usually have a 20 psi pressure spread to the cut-in (minimum) pressure. 
Higher pressure systems typically operate on a 30 psi spread.
With a Public Water Supply, the minimum pressure represents the lowest expected pressure in the system.</t>
        </r>
      </text>
    </comment>
    <comment ref="H21" authorId="0">
      <text>
        <r>
          <rPr>
            <b/>
            <sz val="8"/>
            <rFont val="Tahoma"/>
            <family val="0"/>
          </rPr>
          <t>For a Pumped system, follow pump manufacturer's maximum pressure rating.
For a Public Water Supply, enter the expected maximum pressure supply.</t>
        </r>
      </text>
    </comment>
    <comment ref="P13" authorId="0">
      <text>
        <r>
          <rPr>
            <b/>
            <sz val="8"/>
            <rFont val="Tahoma"/>
            <family val="0"/>
          </rPr>
          <t>100% means that the pump runs for the full trough fill time.  A lower number allows the pump to rest more, but requires a larger pump to do the job.</t>
        </r>
      </text>
    </comment>
    <comment ref="H25" authorId="0">
      <text>
        <r>
          <rPr>
            <b/>
            <sz val="8"/>
            <rFont val="Tahoma"/>
            <family val="0"/>
          </rPr>
          <t>The minimum pump size to deliver the flow requirements for the pipeline is calculated using the "refill rate", in cell C18, above.  Also included in the calculation is the flow for any laterals reported below.</t>
        </r>
      </text>
    </comment>
    <comment ref="C25" authorId="0">
      <text>
        <r>
          <rPr>
            <b/>
            <sz val="8"/>
            <rFont val="Tahoma"/>
            <family val="0"/>
          </rPr>
          <t>If you're designing a lateral, enter in cell C25 the elevation of the hydraulic grade line (HGL) from the station along the main pipeline where this lateral begins, from the design of the main pipeline.</t>
        </r>
      </text>
    </comment>
    <comment ref="C16" authorId="0">
      <text>
        <r>
          <rPr>
            <b/>
            <sz val="8"/>
            <rFont val="Tahoma"/>
            <family val="0"/>
          </rPr>
          <t>Average weight is used to determine the number of animal units (1 A.U. = 1000 lb. Live weight)</t>
        </r>
      </text>
    </comment>
    <comment ref="B18" authorId="1">
      <text>
        <r>
          <rPr>
            <b/>
            <sz val="8"/>
            <rFont val="Tahoma"/>
            <family val="0"/>
          </rPr>
          <t>This site consideration affects the way the trough size is calculated.  When the trough is far from the forage, or the animal cannot see the trough, the animals all come to drink at once, requiring a larger water supply.</t>
        </r>
      </text>
    </comment>
    <comment ref="H16" authorId="2">
      <text>
        <r>
          <rPr>
            <b/>
            <sz val="8"/>
            <rFont val="Tahoma"/>
            <family val="0"/>
          </rPr>
          <t>Choosing a larger tank will allow a smaller pipeline capacity requirement (lower refill rate) due to the additional amount of water stored in the trough.</t>
        </r>
      </text>
    </comment>
    <comment ref="H15" authorId="0">
      <text>
        <r>
          <rPr>
            <b/>
            <sz val="8"/>
            <rFont val="Tahoma"/>
            <family val="0"/>
          </rPr>
          <t>Trough is sized for 1/50 of the daily herd requirement if it is close enough to the forage area.  Otherwise, the animals all come to water at once and a larger tank is needed, 10% of total daily requirement for the herd.</t>
        </r>
      </text>
    </comment>
    <comment ref="H17" authorId="0">
      <text>
        <r>
          <rPr>
            <b/>
            <sz val="8"/>
            <rFont val="Tahoma"/>
            <family val="0"/>
          </rPr>
          <t>For a short forage to trough distance, refill rate is based on 2 gallons per minute (gpm) per head for 1/25th of the herd.  
The long distance or "outta sight" scenario means 1/10 of the herd are drinking at once, and refill rate equals 2 gpm for that number.  If a very large tank is used, the refill rate can be reduced (with design assistance).
Minimum pipeline flow capacity is limited to 3 gpm.</t>
        </r>
      </text>
    </comment>
  </commentList>
</comments>
</file>

<file path=xl/sharedStrings.xml><?xml version="1.0" encoding="utf-8"?>
<sst xmlns="http://schemas.openxmlformats.org/spreadsheetml/2006/main" count="528" uniqueCount="436">
  <si>
    <t>R.Book - Illinois NRCS</t>
  </si>
  <si>
    <t>Landuser:</t>
  </si>
  <si>
    <t>County:</t>
  </si>
  <si>
    <t>Location:</t>
  </si>
  <si>
    <t>Designed by:</t>
  </si>
  <si>
    <t>Checked by:</t>
  </si>
  <si>
    <t>Date:</t>
  </si>
  <si>
    <t>Livestock Water Pipeline</t>
  </si>
  <si>
    <t>pounds</t>
  </si>
  <si>
    <t>Animal Units:</t>
  </si>
  <si>
    <t>Number of Animals:</t>
  </si>
  <si>
    <t>Average Weight:</t>
  </si>
  <si>
    <t>Refill Rate:</t>
  </si>
  <si>
    <t>refill rate</t>
  </si>
  <si>
    <t>gravity or pressurized flow</t>
  </si>
  <si>
    <t>System Design Category:</t>
  </si>
  <si>
    <t>STATION</t>
  </si>
  <si>
    <t>short travel distance</t>
  </si>
  <si>
    <t>ELEV.</t>
  </si>
  <si>
    <t>LATERAL JCT.</t>
  </si>
  <si>
    <t>Label</t>
  </si>
  <si>
    <t>ft.</t>
  </si>
  <si>
    <t>Nominal</t>
  </si>
  <si>
    <t>Actual</t>
  </si>
  <si>
    <t>3/4"</t>
  </si>
  <si>
    <t>1"</t>
  </si>
  <si>
    <t>1-1/4"</t>
  </si>
  <si>
    <t>1-1/2"</t>
  </si>
  <si>
    <t>2"</t>
  </si>
  <si>
    <t>2-1/2"</t>
  </si>
  <si>
    <t>P.E. Pipe Sizes</t>
  </si>
  <si>
    <t>Index</t>
  </si>
  <si>
    <t>Size</t>
  </si>
  <si>
    <t>diameter</t>
  </si>
  <si>
    <t>%</t>
  </si>
  <si>
    <t>GRADE</t>
  </si>
  <si>
    <t>HGL</t>
  </si>
  <si>
    <t>DEPTH</t>
  </si>
  <si>
    <t>Table 1.1</t>
  </si>
  <si>
    <t>HEADLOSS IN FEET PER 100 FEET FOR PLASTIC PIPE</t>
  </si>
  <si>
    <t>PIPE DIA. (IN.)</t>
  </si>
  <si>
    <t>1 GPM</t>
  </si>
  <si>
    <t xml:space="preserve">2 GPM </t>
  </si>
  <si>
    <t>3 GPM</t>
  </si>
  <si>
    <t>4 GPM</t>
  </si>
  <si>
    <t>5 GPM</t>
  </si>
  <si>
    <t>6 GPM</t>
  </si>
  <si>
    <t>7 GPM</t>
  </si>
  <si>
    <t>8 GPM</t>
  </si>
  <si>
    <t>9 GPM</t>
  </si>
  <si>
    <t>10 GPM</t>
  </si>
  <si>
    <t>EQUIVALENT HEADLOSS FOR FITTINGS IN FEET</t>
  </si>
  <si>
    <t>1 1/4"</t>
  </si>
  <si>
    <t>1 1/2"</t>
  </si>
  <si>
    <t>2 1/2"</t>
  </si>
  <si>
    <t>3"</t>
  </si>
  <si>
    <t>Close Return Bend</t>
  </si>
  <si>
    <t>Standard Tee</t>
  </si>
  <si>
    <t>Standard Elbow</t>
  </si>
  <si>
    <t>Med. Sweep Elbow</t>
  </si>
  <si>
    <t>45 deg. Elbow</t>
  </si>
  <si>
    <t>Long Sweep Elbow</t>
  </si>
  <si>
    <t>Gate Valve</t>
  </si>
  <si>
    <t>Angle Valve</t>
  </si>
  <si>
    <t>Swing Chk Valve</t>
  </si>
  <si>
    <t>Area (sq.in.)</t>
  </si>
  <si>
    <t>GPM</t>
  </si>
  <si>
    <t>H=kV^x</t>
  </si>
  <si>
    <t>x=</t>
  </si>
  <si>
    <t>V^x</t>
  </si>
  <si>
    <t>m=</t>
  </si>
  <si>
    <t>b=</t>
  </si>
  <si>
    <t>same as k</t>
  </si>
  <si>
    <t>Error sum of squares:</t>
  </si>
  <si>
    <t>Pipe Size:</t>
  </si>
  <si>
    <t>k</t>
  </si>
  <si>
    <t>x</t>
  </si>
  <si>
    <t xml:space="preserve">Velocity (GPM per sq.in.) </t>
  </si>
  <si>
    <t>.01?</t>
  </si>
  <si>
    <t>.06?</t>
  </si>
  <si>
    <t>misleading because of  low precision</t>
  </si>
  <si>
    <t>Use x=1.85</t>
  </si>
  <si>
    <t>Headloss=kV^x</t>
  </si>
  <si>
    <t>(ft per 100 ft.)</t>
  </si>
  <si>
    <t>HEAD LOSS</t>
  </si>
  <si>
    <t>Fittings (ft.)</t>
  </si>
  <si>
    <t>Reach Flow</t>
  </si>
  <si>
    <t>gpm</t>
  </si>
  <si>
    <t>Velocity</t>
  </si>
  <si>
    <t>gpm/sq.in.</t>
  </si>
  <si>
    <t>ft/sec</t>
  </si>
  <si>
    <t>k factor</t>
  </si>
  <si>
    <t>for headloss</t>
  </si>
  <si>
    <t>Max.pressure</t>
  </si>
  <si>
    <t>on pipe (ft.)</t>
  </si>
  <si>
    <t>(psi)</t>
  </si>
  <si>
    <t>Pipe Pressure Rating</t>
  </si>
  <si>
    <t>Check</t>
  </si>
  <si>
    <t>Strength</t>
  </si>
  <si>
    <t>Pipe</t>
  </si>
  <si>
    <t>PIPE</t>
  </si>
  <si>
    <r>
      <t>Flow (</t>
    </r>
    <r>
      <rPr>
        <i/>
        <sz val="8"/>
        <rFont val="Arial"/>
        <family val="2"/>
      </rPr>
      <t>gpm)</t>
    </r>
  </si>
  <si>
    <t>lb./sq.in. (psi)</t>
  </si>
  <si>
    <t>Forage to Trough Distance:</t>
  </si>
  <si>
    <t>head</t>
  </si>
  <si>
    <t>Pipeline ID:</t>
  </si>
  <si>
    <t>gpm pump flow rate min</t>
  </si>
  <si>
    <t>hp=(Q*P)/1712 not including efficiency</t>
  </si>
  <si>
    <t>actual gpm for this pump and this pipeline</t>
  </si>
  <si>
    <t>HGL at pump</t>
  </si>
  <si>
    <t>TDH at pump</t>
  </si>
  <si>
    <t>pipe EL</t>
  </si>
  <si>
    <t>min. STA</t>
  </si>
  <si>
    <t>max. STA</t>
  </si>
  <si>
    <t>min. EL</t>
  </si>
  <si>
    <t>max. EL</t>
  </si>
  <si>
    <t>smaller</t>
  </si>
  <si>
    <t>larger</t>
  </si>
  <si>
    <t>Pipe Nominal Size</t>
  </si>
  <si>
    <t>GENERAL INSTRUCTIONS FOR USING THIS PIPELINE DESIGN PROGRAM:</t>
  </si>
  <si>
    <t>1.</t>
  </si>
  <si>
    <t>Job identification and location information entered at the top of the design sheet is automatically</t>
  </si>
  <si>
    <t>entered in other parts of the program.</t>
  </si>
  <si>
    <t>2.</t>
  </si>
  <si>
    <t xml:space="preserve">The livestock water supply calculations are optional; the pipeline can be designed without using </t>
  </si>
  <si>
    <t>this feature.  The calculations depend on the distance of the water supply from the forage area.</t>
  </si>
  <si>
    <t>3.</t>
  </si>
  <si>
    <t>As you move the mouse across the design sheet, comment windows with information on the</t>
  </si>
  <si>
    <t xml:space="preserve">details of the program appear. </t>
  </si>
  <si>
    <t>4.</t>
  </si>
  <si>
    <t>For gravity flow systems, laterals are handled by first designing the main line so that you know the</t>
  </si>
  <si>
    <t>elevation of the hydraulic grade line (HGL) at the supply end of the lateral.  This is the effective</t>
  </si>
  <si>
    <t>supply tank elevation for the lateral.  However, to design the main line, you need to have some idea</t>
  </si>
  <si>
    <t>need to begin sizing the lateral (at least the water supply calculations part) before doing the main.</t>
  </si>
  <si>
    <t>5.</t>
  </si>
  <si>
    <t>6.</t>
  </si>
  <si>
    <t>7.</t>
  </si>
  <si>
    <t>Any laterals are entered in the table on the same row as the station where the lateral joins into the</t>
  </si>
  <si>
    <t>pipeline being designed.  If the lateral is to flow at the same time as this pipeline, enter a flow also,</t>
  </si>
  <si>
    <t>so the computer can help you determine the right pipe size and pump.</t>
  </si>
  <si>
    <t>8.</t>
  </si>
  <si>
    <t>9.</t>
  </si>
  <si>
    <t>10.</t>
  </si>
  <si>
    <t>The HGL must be above the elevation of the pipeline for proper flow.  Flagged warnings:</t>
  </si>
  <si>
    <t>11.</t>
  </si>
  <si>
    <r>
      <t>Red</t>
    </r>
    <r>
      <rPr>
        <sz val="10"/>
        <rFont val="Arial"/>
        <family val="0"/>
      </rPr>
      <t>: HGL is below pipeline</t>
    </r>
  </si>
  <si>
    <t>a. Choose a larger pipe size upstream of the flagged station</t>
  </si>
  <si>
    <t>b. Increase pump pressure or supply tank elevation</t>
  </si>
  <si>
    <t>c. Bury the pipe more</t>
  </si>
  <si>
    <t>d. Reduce the refill rate or the pump horsepower</t>
  </si>
  <si>
    <t>PIPELINE SPECIFICATIONS</t>
  </si>
  <si>
    <t>Version</t>
  </si>
  <si>
    <t>Date</t>
  </si>
  <si>
    <t>Changes Made</t>
  </si>
  <si>
    <t>1.00</t>
  </si>
  <si>
    <t>6/02</t>
  </si>
  <si>
    <t>Initial development.</t>
  </si>
  <si>
    <t>1.01</t>
  </si>
  <si>
    <t>7/02</t>
  </si>
  <si>
    <t>Added 3" pipe to list of choices</t>
  </si>
  <si>
    <t>Added this Notes page</t>
  </si>
  <si>
    <t>Changed "short travel distance" definition to 800 ft instead of 900 ft to match University of</t>
  </si>
  <si>
    <t>Missouri extension publication EQ380.</t>
  </si>
  <si>
    <t>Revised trough and water supply sizing to match EQ380.</t>
  </si>
  <si>
    <t>Size of Drink</t>
  </si>
  <si>
    <t>gallons/head</t>
  </si>
  <si>
    <t>Added calculation for refill time based on selected water supply gpm.</t>
  </si>
  <si>
    <t>12.</t>
  </si>
  <si>
    <t>Revised instructions on reference sheet.</t>
  </si>
  <si>
    <t>1.02</t>
  </si>
  <si>
    <t>Added water line plot</t>
  </si>
  <si>
    <t>1.03</t>
  </si>
  <si>
    <t>Corrected water line plot</t>
  </si>
  <si>
    <t>Corrected conditional formatting (red strikeout condition) in HGL column</t>
  </si>
  <si>
    <t>Livestock Water Supply Calculations:</t>
  </si>
  <si>
    <t>Use the table (above) as a guide to select effective head loss through fittings and valves.</t>
  </si>
  <si>
    <r>
      <t>Blue</t>
    </r>
    <r>
      <rPr>
        <sz val="10"/>
        <rFont val="Arial"/>
        <family val="0"/>
      </rPr>
      <t xml:space="preserve">: HGL is below 25 ft. (~10 psi) clearance head factor of safety. Water will still flow just fine. </t>
    </r>
  </si>
  <si>
    <t>The pump sizing calculations are based on the refill rate from the optional livestock water supply</t>
  </si>
  <si>
    <t>13.</t>
  </si>
  <si>
    <t xml:space="preserve">section.  If you haven't used the livestock water supply section, then the pump horsepower </t>
  </si>
  <si>
    <t xml:space="preserve">horspower; just select your own pump size and enter it in cell C24.  However, you do still have to </t>
  </si>
  <si>
    <t>provide pump pressure and efficiency information.</t>
  </si>
  <si>
    <t xml:space="preserve">Refill time is calculated based on the actual gpm selected for the system.  To meet NRCS </t>
  </si>
  <si>
    <t xml:space="preserve">guidelines, it must supply the full peak demand in 12 hours or less.  The program flags a warning if </t>
  </si>
  <si>
    <t>this limit is reached; to correct the problem, just increase the flow supply (or pump size).</t>
  </si>
  <si>
    <t>of what flow each lateral will need (if the laterals and the main will flow at the same time). You may</t>
  </si>
  <si>
    <t>Surveyed stations and elevations are entered in the table.  Enter the stations as numbers…</t>
  </si>
  <si>
    <t xml:space="preserve">for example, if you type in 1200, the computer will format it automatically as 12+00.  Don't type in </t>
  </si>
  <si>
    <t>the "plus" sign, because the computer won't recognize it as a number that way.</t>
  </si>
  <si>
    <t xml:space="preserve">Select a trial pipe size for each reach using the dropdown menus.  This pipe size refers to the </t>
  </si>
  <si>
    <t xml:space="preserve">The depth of the pipeline at each station is specified in the "Depth"column. You may want to refer  </t>
  </si>
  <si>
    <t>to the plotted profile to select a depth that maintains a pipeline grade sloping to the outlet.</t>
  </si>
  <si>
    <t xml:space="preserve">The hydraulic grade line (HGL) column is a key design check.  Once you have all the data entered </t>
  </si>
  <si>
    <t>and have selected trial values for pipe size, you should check the HGL column for any warnings.</t>
  </si>
  <si>
    <t>To correct for flagged warnings, raise the HGL and/or lower the pipeline.  Possible ways to do this</t>
  </si>
  <si>
    <t xml:space="preserve"> include:</t>
  </si>
  <si>
    <t>Modified instructions and comments for clarity</t>
  </si>
  <si>
    <t>1.04</t>
  </si>
  <si>
    <t>8/02</t>
  </si>
  <si>
    <t>Added JULIE sheet</t>
  </si>
  <si>
    <t>gal/day per head input water consumption</t>
  </si>
  <si>
    <t>gpm minimum</t>
  </si>
  <si>
    <t>Display calculation of A.U.</t>
  </si>
  <si>
    <t>Use 30 gal/day/A.U. for trough size and refill rates rather than user-input value</t>
  </si>
  <si>
    <t xml:space="preserve"> </t>
  </si>
  <si>
    <t>Added IL-516-6 O&amp;M sheet</t>
  </si>
  <si>
    <t>1.05</t>
  </si>
  <si>
    <t>9/02</t>
  </si>
  <si>
    <t>Corrected "clear cells" macro to not affect A.U. calculation</t>
  </si>
  <si>
    <t>1.06</t>
  </si>
  <si>
    <t>10/02</t>
  </si>
  <si>
    <t>Added 20 more lines of survey data capability</t>
  </si>
  <si>
    <t>No. of Tanks</t>
  </si>
  <si>
    <t>Freezeproof Hydrants</t>
  </si>
  <si>
    <t>C.Y. of concrete in pad</t>
  </si>
  <si>
    <t>Tons/C.Y. of gravel in pad and base</t>
  </si>
  <si>
    <t>Ft. of Ultraviolet Stabilized Aboveground Pipe</t>
  </si>
  <si>
    <t>Check valve for Rural Water</t>
  </si>
  <si>
    <t>Plus plumbing and fitting requirements.  Other miscellaneous items listed below or attached.</t>
  </si>
  <si>
    <t>LIVESTOCK WATERING PRACTICE CHECKOUT</t>
  </si>
  <si>
    <t>Practice Description ____________________</t>
  </si>
  <si>
    <t>Acres Served:_________________________</t>
  </si>
  <si>
    <t>Pipeline Components:</t>
  </si>
  <si>
    <t>Ft. of</t>
  </si>
  <si>
    <t>inch diameter</t>
  </si>
  <si>
    <t>pipe</t>
  </si>
  <si>
    <t>ASTM#</t>
  </si>
  <si>
    <t>Installation of Ultraviolet Stabilized Aboveground Pipe (2% carbon Black) ASTM #D2239 or AWWA C-202</t>
  </si>
  <si>
    <t>inch diameter,</t>
  </si>
  <si>
    <t>psi pipe</t>
  </si>
  <si>
    <t>yes      no      N/A</t>
  </si>
  <si>
    <t>Trench is backfilled, graded, and seeded:</t>
  </si>
  <si>
    <t>If pipe is hooked to rural water, has required check valve been installed:</t>
  </si>
  <si>
    <t>Tank Components:  Concrete Freezeproof</t>
  </si>
  <si>
    <t>No. of Tanks (or N/A)</t>
  </si>
  <si>
    <t>No. of hydrants (or N/A)</t>
  </si>
  <si>
    <t>Pad installed at least 2' out from all sides of tank:</t>
  </si>
  <si>
    <t>Pad is:</t>
  </si>
  <si>
    <t>gravel</t>
  </si>
  <si>
    <t xml:space="preserve">concrete </t>
  </si>
  <si>
    <t>(circle one)</t>
  </si>
  <si>
    <t>Is gravel retained by ties or similar material?</t>
  </si>
  <si>
    <t xml:space="preserve">   yes      no   </t>
  </si>
  <si>
    <t>Is gravel underlined with fabric?</t>
  </si>
  <si>
    <t>Pad computations:</t>
  </si>
  <si>
    <t>______</t>
  </si>
  <si>
    <t>(L) X ______ (W)=______S.F. X _______(D) = _________ C.Y. (Volume)</t>
  </si>
  <si>
    <t>or converting to tons:</t>
  </si>
  <si>
    <t>_____ C.Y. X 1.6 = ________ tons</t>
  </si>
  <si>
    <t>yes      no</t>
  </si>
  <si>
    <t>Is overflow pipe protected:</t>
  </si>
  <si>
    <t>Tank Components:  Energy Free</t>
  </si>
  <si>
    <t>Miscellaneous:</t>
  </si>
  <si>
    <t>Cross fencing has been installed to provide grazing distribution improvement:</t>
  </si>
  <si>
    <t xml:space="preserve">  </t>
  </si>
  <si>
    <t>If cost shared, has landowner supplied the field office the receipts for materials:</t>
  </si>
  <si>
    <t>Pipeline and Tank Installation meet all NRCS Specifications</t>
  </si>
  <si>
    <t>Installed by___________________________________</t>
  </si>
  <si>
    <t>Date:___________________</t>
  </si>
  <si>
    <t>Date:______________________</t>
  </si>
  <si>
    <t>Contractor:___________________________________</t>
  </si>
  <si>
    <t>Retaining wall installed and buried portion fenced from cattle:</t>
  </si>
  <si>
    <t>Added Quantity sheet</t>
  </si>
  <si>
    <t>Added Checkout sheet</t>
  </si>
  <si>
    <t>Approved by:___________________________</t>
  </si>
  <si>
    <t>Length</t>
  </si>
  <si>
    <t>Nominal Diameter</t>
  </si>
  <si>
    <t>(in.)</t>
  </si>
  <si>
    <t>(ft.)</t>
  </si>
  <si>
    <t>Station</t>
  </si>
  <si>
    <t>Grade</t>
  </si>
  <si>
    <t>Pipe Size</t>
  </si>
  <si>
    <t>Pipe Length</t>
  </si>
  <si>
    <t>Total</t>
  </si>
  <si>
    <t>Tank Description</t>
  </si>
  <si>
    <t>dia.</t>
  </si>
  <si>
    <t xml:space="preserve">Ft. of </t>
  </si>
  <si>
    <t>Pipe Quantities for Line</t>
  </si>
  <si>
    <t>Notes:</t>
  </si>
  <si>
    <t>Bill of Materials:</t>
  </si>
  <si>
    <t>Note:</t>
  </si>
  <si>
    <t>Pipeline</t>
  </si>
  <si>
    <t xml:space="preserve">The Bill of Materials below is intended for </t>
  </si>
  <si>
    <t xml:space="preserve">the entire pipeline system rather than just </t>
  </si>
  <si>
    <t>Print this page only after adding information</t>
  </si>
  <si>
    <t>for the entire system.  Only the Bill of</t>
  </si>
  <si>
    <t>Materials will print; not the pipe quantities</t>
  </si>
  <si>
    <t>for the individual pipeline.</t>
  </si>
  <si>
    <t>Added "Public Water Supply" as a system design option.</t>
  </si>
  <si>
    <t>Minimum pipe depth:</t>
  </si>
  <si>
    <t>1.07</t>
  </si>
  <si>
    <t>Added drop-down box to select minimum pipeline depth</t>
  </si>
  <si>
    <t>Added drawing page</t>
  </si>
  <si>
    <t>Added conditional formatting on depth column to alert user if depth is too shallow</t>
  </si>
  <si>
    <t>Landowner</t>
  </si>
  <si>
    <t>Location</t>
  </si>
  <si>
    <t>NOTE:</t>
  </si>
  <si>
    <t xml:space="preserve">     NRCS standards and specifications.</t>
  </si>
  <si>
    <t>3. See standards for permissible pipe materials to meet</t>
  </si>
  <si>
    <t>TBM Description:</t>
  </si>
  <si>
    <t>TBM Elevation:</t>
  </si>
  <si>
    <t>Pump Data:</t>
  </si>
  <si>
    <t>Pump Efficiency</t>
  </si>
  <si>
    <t>Pump Head</t>
  </si>
  <si>
    <t>Pump Type  (Submersible or Centrifugal)</t>
  </si>
  <si>
    <t>Pump Size (horsepower)</t>
  </si>
  <si>
    <t xml:space="preserve">Gallons per minute </t>
  </si>
  <si>
    <t>Pressure Tank Data:</t>
  </si>
  <si>
    <t>Min. Pressure (psi)</t>
  </si>
  <si>
    <t>Max. Pressure (psi)</t>
  </si>
  <si>
    <t>Volume (gallons)</t>
  </si>
  <si>
    <t>Number of animals designed for:</t>
  </si>
  <si>
    <t>Average animal weight:</t>
  </si>
  <si>
    <t xml:space="preserve">Pipe is buried                or more:    </t>
  </si>
  <si>
    <t>Drink Rate</t>
  </si>
  <si>
    <t>gpm per animal</t>
  </si>
  <si>
    <t>1.08</t>
  </si>
  <si>
    <t>Updated comment on tank refill rate cell.</t>
  </si>
  <si>
    <t>Modified refill time cell to show a result only when enough data has been input.</t>
  </si>
  <si>
    <t>Revised tank refill rate calculations to reflect U.Missouri recommendations plus</t>
  </si>
  <si>
    <t>a 2 hour tank refill if the entire herd drinks at once (long distance situation).</t>
  </si>
  <si>
    <t>1.09</t>
  </si>
  <si>
    <t>3/03</t>
  </si>
  <si>
    <t>Unlocked Bill of Materials quantity cells on QTYs sheet</t>
  </si>
  <si>
    <t>1.10</t>
  </si>
  <si>
    <t>5/03</t>
  </si>
  <si>
    <t>Unlocked Drawing page to facilitate electronic sketches</t>
  </si>
  <si>
    <t>Relabeled system design options for clarity.</t>
  </si>
  <si>
    <t>Added auto-fill for default pipeline depth at every row</t>
  </si>
  <si>
    <t>Min. Trough Linear Access:</t>
  </si>
  <si>
    <t>gallons</t>
  </si>
  <si>
    <t>inches</t>
  </si>
  <si>
    <t>Trough Sizing:</t>
  </si>
  <si>
    <t>Selected:</t>
  </si>
  <si>
    <t>Min.:</t>
  </si>
  <si>
    <t>Trough storage analysis:</t>
  </si>
  <si>
    <t>fraction of herd drinking at once:</t>
  </si>
  <si>
    <t>volume used in one trip:</t>
  </si>
  <si>
    <t>gal.</t>
  </si>
  <si>
    <t>daily volume per group:</t>
  </si>
  <si>
    <t># trips per group in 12 hrs:</t>
  </si>
  <si>
    <t>total # trips in 12 hrs (one day):</t>
  </si>
  <si>
    <t># trips without refilling tank:</t>
  </si>
  <si>
    <t># tank refills req'd in 12 hrs:</t>
  </si>
  <si>
    <t>refill time, hrs</t>
  </si>
  <si>
    <t>pipeline Q required, gpm:</t>
  </si>
  <si>
    <t>hrs</t>
  </si>
  <si>
    <t>absolute minimum Q based on sheer volume of water required in a 12-hr day</t>
  </si>
  <si>
    <t>Removed 3/4" pipe from selection list</t>
  </si>
  <si>
    <t>Added auto-fill for default pipe size based on first selection box.</t>
  </si>
  <si>
    <t>Revised layout of trough sizing box to include space for user-selected trough size</t>
  </si>
  <si>
    <t>Added provision for reduction in refill rate (pipeline Q requirement) if trough size is enlarged</t>
  </si>
  <si>
    <t xml:space="preserve">Total vol. Needed in one day </t>
  </si>
  <si>
    <t>gal</t>
  </si>
  <si>
    <t>Summary of this analysis:</t>
  </si>
  <si>
    <t>Refill rate if min trough size</t>
  </si>
  <si>
    <t>entire daily herd requirement in 12 hours.</t>
  </si>
  <si>
    <t xml:space="preserve">recommendation will be based on the default 3.0 gpm minimum.  You don't have to use the default </t>
  </si>
  <si>
    <t xml:space="preserve">For pumped  or public water supply systems, the main and laterals are handled as in step 6, </t>
  </si>
  <si>
    <t xml:space="preserve">EXCEPT that you must tell the computer what type of system (main or lateral) you are working on. </t>
  </si>
  <si>
    <t>If your system has a lateral that will NEVER be used at the same time as the main line, design the</t>
  </si>
  <si>
    <t>lateral as if it were a main.  Also, when designing the main, enter flow requirements for laterals</t>
  </si>
  <si>
    <t>ONLY IF the lateral will be operated at the same time as the main line.</t>
  </si>
  <si>
    <t>reach just upstream of the station in each row. NOTE: the pipe size selection for the first reach</t>
  </si>
  <si>
    <t>automatically sets the size for the remaining reaches, but you can change these individually if desired.</t>
  </si>
  <si>
    <t>The dropdown menu for pipe depth can be toggled to automatically enter depth for all reaches.</t>
  </si>
  <si>
    <t>14.</t>
  </si>
  <si>
    <t>Updated Reference sheet to include instructions for new features</t>
  </si>
  <si>
    <t>Added form to select what to print</t>
  </si>
  <si>
    <t>1.11</t>
  </si>
  <si>
    <t>6/03</t>
  </si>
  <si>
    <t>Added 3/4" pipe back to selection list</t>
  </si>
  <si>
    <t>*3/4"</t>
  </si>
  <si>
    <t>*1"</t>
  </si>
  <si>
    <t>Added asterisk to 3/4" and 1" pipe selections, with note (not recommended for new design)</t>
  </si>
  <si>
    <t>Added conditional formatting to alert user if selected Q / pump size is not large enough</t>
  </si>
  <si>
    <t>(Rs or RL)</t>
  </si>
  <si>
    <t>Ts (short travel dist)</t>
  </si>
  <si>
    <t>min. trough sizes:</t>
  </si>
  <si>
    <t>TL (long travel dist)</t>
  </si>
  <si>
    <t>Min refill rate (Rmin)</t>
  </si>
  <si>
    <t>trough size to use</t>
  </si>
  <si>
    <t>Tmin</t>
  </si>
  <si>
    <t>f=</t>
  </si>
  <si>
    <t>(multiple of the min. trough size)</t>
  </si>
  <si>
    <t>Revised refill rate reduction vs trough size selection: allow refill time to increase by the</t>
  </si>
  <si>
    <t xml:space="preserve">   same multiple as the ratio of selected to min. trough size</t>
  </si>
  <si>
    <t>1.12</t>
  </si>
  <si>
    <t>Added note about 10" access space for smaller animals such as sheep</t>
  </si>
  <si>
    <t>1.13</t>
  </si>
  <si>
    <t>10/03</t>
  </si>
  <si>
    <t>Widened date cell on Design sheet to allow display of double digit months</t>
  </si>
  <si>
    <t>1.14</t>
  </si>
  <si>
    <t>Widened date box on Profile drawing to allow display of double digit months</t>
  </si>
  <si>
    <t>10/05</t>
  </si>
  <si>
    <t>Unprotected copy to Tennessee NRCS</t>
  </si>
  <si>
    <t>Unlocked copy to Tennessee NRCSj</t>
  </si>
  <si>
    <t>If this distance is closer than 800 feet, the refill rate is equal to drinking rate of 1/25th of herd at</t>
  </si>
  <si>
    <t xml:space="preserve">2 gpm each, and the trough  volume is enough to hold the daily water requirements for 1/50th of </t>
  </si>
  <si>
    <t xml:space="preserve">the herd. For a longer forage to trough distance, the herd tends to travel to water all at once, requiring a  </t>
  </si>
  <si>
    <t>to hold the daily water requirements for 1/10 of the herd.  If you select a trough size larger than the</t>
  </si>
  <si>
    <t>minimum, the refill rate can be reduced proportionally, down to a minimum limit based on refilling the</t>
  </si>
  <si>
    <t xml:space="preserve">larger trough.  The refill rate is 2 gpm for 1/10th of the herd drinking at once, and the trough is sized </t>
  </si>
  <si>
    <t>1.15</t>
  </si>
  <si>
    <t>3/06</t>
  </si>
  <si>
    <t>Changed trough sizes to be smaller, 1/50 of daily volume for nearby herds, 1/10 for others</t>
  </si>
  <si>
    <t>Changed refill rates to match drinking rate of herd portions (1/10 or 1/25)</t>
  </si>
  <si>
    <t>version 1.15 - March 2006</t>
  </si>
  <si>
    <t>adapted for Tennessee 3/17/06</t>
  </si>
  <si>
    <t>1. Bury pipeline a minimum of           below ground.</t>
  </si>
  <si>
    <t>2. Pipe pressure rating shall be          psi or greater.</t>
  </si>
  <si>
    <t>Code 516</t>
  </si>
  <si>
    <t>OPERATION AND MAINTENANCE PLAN</t>
  </si>
  <si>
    <t>The life of this installation can be assured and usually increased by developing and carrying out a good operation and maintenance program.  Operation and Maintenance (O&amp;M) is necessary for all conservation practices and is required for all practices installed with NRCS assistance. The landuser is responsible for proper O&amp;M throughout the life of the practice and as may be required by federal, state, or local laws or regulations.  The pipeline is designed and installed to transfer water to where it may be utilized.</t>
  </si>
  <si>
    <t>Operation is defined as operating the practice in compliance with all laws, regulations, ordinances, and easements; and in a manner that is beneficial to the environment and will permit the practice to serve its intended purpose.  Maintenance includes working to prevent deterioration of the practice, repairing damage, or replacing components that may fail.</t>
  </si>
  <si>
    <t xml:space="preserve">Necessary operation and maintenance items for this practice include: </t>
  </si>
  <si>
    <t>Other:</t>
  </si>
  <si>
    <t>Farm/Tract No.:</t>
  </si>
  <si>
    <t>Landowner/Operator Signature:</t>
  </si>
  <si>
    <t>Review</t>
  </si>
  <si>
    <t>Prepared By:</t>
  </si>
  <si>
    <r>
      <t>·</t>
    </r>
    <r>
      <rPr>
        <sz val="9"/>
        <rFont val="Times New Roman"/>
        <family val="1"/>
      </rPr>
      <t xml:space="preserve">         </t>
    </r>
    <r>
      <rPr>
        <b/>
        <sz val="9"/>
        <rFont val="Tahoma"/>
        <family val="2"/>
      </rPr>
      <t>Check to make sure all valves and air vents are in and set at the operating condition so they may provide protection to the pipeline.</t>
    </r>
  </si>
  <si>
    <r>
      <t>·</t>
    </r>
    <r>
      <rPr>
        <sz val="9"/>
        <rFont val="Times New Roman"/>
        <family val="1"/>
      </rPr>
      <t xml:space="preserve">         </t>
    </r>
    <r>
      <rPr>
        <b/>
        <sz val="9"/>
        <rFont val="Tahoma"/>
        <family val="2"/>
      </rPr>
      <t>Maintain all screens and filters in good working condition and promptly repair or replace.</t>
    </r>
  </si>
  <si>
    <r>
      <t>·</t>
    </r>
    <r>
      <rPr>
        <sz val="9"/>
        <rFont val="Times New Roman"/>
        <family val="1"/>
      </rPr>
      <t xml:space="preserve">         </t>
    </r>
    <r>
      <rPr>
        <b/>
        <sz val="9"/>
        <rFont val="Tahoma"/>
        <family val="2"/>
      </rPr>
      <t>Maintain the design depth of cover over the pipeline.</t>
    </r>
  </si>
  <si>
    <r>
      <t>·</t>
    </r>
    <r>
      <rPr>
        <sz val="9"/>
        <rFont val="Times New Roman"/>
        <family val="1"/>
      </rPr>
      <t xml:space="preserve">         </t>
    </r>
    <r>
      <rPr>
        <b/>
        <sz val="9"/>
        <rFont val="Tahoma"/>
        <family val="2"/>
      </rPr>
      <t>Limit traffic over the pipeline to designated sections that were designed for traffic loads.</t>
    </r>
  </si>
  <si>
    <r>
      <t>·</t>
    </r>
    <r>
      <rPr>
        <sz val="9"/>
        <rFont val="Times New Roman"/>
        <family val="1"/>
      </rPr>
      <t xml:space="preserve">         </t>
    </r>
    <r>
      <rPr>
        <b/>
        <sz val="9"/>
        <rFont val="Tahoma"/>
        <family val="2"/>
      </rPr>
      <t>Avoid travel over pipelines by tillage equipment when the soil is saturated.</t>
    </r>
  </si>
  <si>
    <r>
      <t>·</t>
    </r>
    <r>
      <rPr>
        <sz val="9"/>
        <rFont val="Times New Roman"/>
        <family val="1"/>
      </rPr>
      <t xml:space="preserve">         </t>
    </r>
    <r>
      <rPr>
        <b/>
        <sz val="9"/>
        <rFont val="Tahoma"/>
        <family val="2"/>
      </rPr>
      <t>Avoid any subsoiling operation that may disturb the pipeline.</t>
    </r>
  </si>
  <si>
    <r>
      <t>·</t>
    </r>
    <r>
      <rPr>
        <sz val="9"/>
        <rFont val="Times New Roman"/>
        <family val="1"/>
      </rPr>
      <t xml:space="preserve">         </t>
    </r>
    <r>
      <rPr>
        <b/>
        <sz val="9"/>
        <rFont val="Tahoma"/>
        <family val="2"/>
      </rPr>
      <t>Remove all foreign debris that hinders system operation.</t>
    </r>
  </si>
  <si>
    <r>
      <t>·</t>
    </r>
    <r>
      <rPr>
        <sz val="9"/>
        <rFont val="Times New Roman"/>
        <family val="1"/>
      </rPr>
      <t xml:space="preserve">         </t>
    </r>
    <r>
      <rPr>
        <b/>
        <sz val="9"/>
        <rFont val="Tahoma"/>
        <family val="2"/>
      </rPr>
      <t>If the pipeline is connected to a continuous flowing source, such as a spring, maintain flow through the pipe to avoid freezing.</t>
    </r>
  </si>
  <si>
    <r>
      <t>·</t>
    </r>
    <r>
      <rPr>
        <sz val="9"/>
        <rFont val="Times New Roman"/>
        <family val="1"/>
      </rPr>
      <t xml:space="preserve">         </t>
    </r>
    <r>
      <rPr>
        <b/>
        <sz val="9"/>
        <rFont val="Tahoma"/>
        <family val="2"/>
      </rPr>
      <t>Eradicate or otherwise remove all rodents or burrowing animals. Immediately repair any damage caused by their activity.</t>
    </r>
  </si>
  <si>
    <r>
      <t>·</t>
    </r>
    <r>
      <rPr>
        <sz val="9"/>
        <color indexed="20"/>
        <rFont val="Times New Roman"/>
        <family val="1"/>
      </rPr>
      <t xml:space="preserve">         </t>
    </r>
    <r>
      <rPr>
        <b/>
        <sz val="9"/>
        <rFont val="Tahoma"/>
        <family val="2"/>
      </rPr>
      <t>Immediately repair any vandalism, vehicular, or livestock damage to any outlets and appurtenances</t>
    </r>
  </si>
  <si>
    <r>
      <t>·</t>
    </r>
    <r>
      <rPr>
        <sz val="9"/>
        <rFont val="Times New Roman"/>
        <family val="1"/>
      </rPr>
      <t xml:space="preserve">         </t>
    </r>
    <r>
      <rPr>
        <b/>
        <sz val="9"/>
        <rFont val="Tahoma"/>
        <family val="2"/>
      </rPr>
      <t>Drain all system components in areas that are subject to freezing. If parts of the system cannot be drained, an anti-freeze solution shall be added.</t>
    </r>
  </si>
  <si>
    <t>Added TN-516-6 O&amp;M</t>
  </si>
  <si>
    <t>1.16</t>
  </si>
  <si>
    <t>8/06</t>
  </si>
  <si>
    <t>Corrected Error in horsepower calculations, Total Dynamic Head (TDH) calculation, and Hydraulic grade line (HGL).</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</si>
</sst>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
    <numFmt numFmtId="166" formatCode="0.0000"/>
    <numFmt numFmtId="167" formatCode="0.000"/>
    <numFmt numFmtId="168" formatCode="#\ \f\t."/>
    <numFmt numFmtId="169" formatCode="m/yy"/>
    <numFmt numFmtId="170" formatCode="&quot;Sec.&quot;\ #"/>
    <numFmt numFmtId="171" formatCode="&quot;T&quot;\ #"/>
    <numFmt numFmtId="172" formatCode="&quot;T&quot;\ ?"/>
    <numFmt numFmtId="173" formatCode="&quot;T&quot;@"/>
    <numFmt numFmtId="174" formatCode="&quot;R&quot;@"/>
    <numFmt numFmtId="175" formatCode="&quot;R&quot;#"/>
    <numFmt numFmtId="176" formatCode="#\ &quot;County, IL&quot;"/>
    <numFmt numFmtId="177" formatCode="@\ &quot;County, IL&quot;"/>
    <numFmt numFmtId="178" formatCode="#&quot;%&quot;"/>
    <numFmt numFmtId="179" formatCode="#.#\ \f\t."/>
    <numFmt numFmtId="180" formatCode="#.#\ &quot;gpm&quot;"/>
    <numFmt numFmtId="181" formatCode="#\ &quot;hp&quot;"/>
    <numFmt numFmtId="182" formatCode="#\ &quot;psi&quot;"/>
    <numFmt numFmtId="183" formatCode="#\ &quot;pounds&quot;"/>
    <numFmt numFmtId="184" formatCode="#\ &quot;lbs&quot;"/>
    <numFmt numFmtId="185" formatCode="#.0\ &quot;hp&quot;"/>
    <numFmt numFmtId="186" formatCode="0.000000000"/>
    <numFmt numFmtId="187" formatCode="0.0000000000"/>
    <numFmt numFmtId="188" formatCode="0.00000000"/>
    <numFmt numFmtId="189" formatCode="0.0000000"/>
    <numFmt numFmtId="190" formatCode="0.000000"/>
    <numFmt numFmtId="191" formatCode="0.00000"/>
  </numFmts>
  <fonts count="39">
    <font>
      <sz val="10"/>
      <name val="Arial"/>
      <family val="0"/>
    </font>
    <font>
      <i/>
      <sz val="8"/>
      <name val="Arial"/>
      <family val="2"/>
    </font>
    <font>
      <b/>
      <sz val="8"/>
      <name val="Tahoma"/>
      <family val="0"/>
    </font>
    <font>
      <sz val="8"/>
      <name val="Tahoma"/>
      <family val="2"/>
    </font>
    <font>
      <b/>
      <sz val="10"/>
      <name val="Arial"/>
      <family val="2"/>
    </font>
    <font>
      <i/>
      <sz val="10"/>
      <name val="Arial"/>
      <family val="2"/>
    </font>
    <font>
      <b/>
      <sz val="12"/>
      <name val="Arial"/>
      <family val="0"/>
    </font>
    <font>
      <u val="single"/>
      <sz val="10"/>
      <color indexed="12"/>
      <name val="Arial"/>
      <family val="0"/>
    </font>
    <font>
      <sz val="8"/>
      <name val="Arial"/>
      <family val="2"/>
    </font>
    <font>
      <b/>
      <strike/>
      <sz val="8"/>
      <color indexed="10"/>
      <name val="Tahoma"/>
      <family val="2"/>
    </font>
    <font>
      <b/>
      <sz val="8"/>
      <color indexed="12"/>
      <name val="Tahoma"/>
      <family val="2"/>
    </font>
    <font>
      <strike/>
      <sz val="10"/>
      <color indexed="10"/>
      <name val="Arial"/>
      <family val="2"/>
    </font>
    <font>
      <sz val="10"/>
      <color indexed="12"/>
      <name val="Arial"/>
      <family val="2"/>
    </font>
    <font>
      <b/>
      <sz val="8"/>
      <name val="Arial"/>
      <family val="2"/>
    </font>
    <font>
      <sz val="6"/>
      <name val="Arial"/>
      <family val="2"/>
    </font>
    <font>
      <sz val="7"/>
      <name val="Arial"/>
      <family val="2"/>
    </font>
    <font>
      <b/>
      <i/>
      <sz val="12"/>
      <name val="Tahoma"/>
      <family val="2"/>
    </font>
    <font>
      <sz val="10"/>
      <name val="Tahoma"/>
      <family val="2"/>
    </font>
    <font>
      <i/>
      <sz val="11"/>
      <name val="Tahoma"/>
      <family val="2"/>
    </font>
    <font>
      <b/>
      <i/>
      <sz val="10"/>
      <name val="Tahoma"/>
      <family val="2"/>
    </font>
    <font>
      <i/>
      <sz val="10"/>
      <name val="Tahoma"/>
      <family val="2"/>
    </font>
    <font>
      <sz val="11"/>
      <name val="Arial"/>
      <family val="2"/>
    </font>
    <font>
      <u val="single"/>
      <sz val="10"/>
      <name val="Arial"/>
      <family val="2"/>
    </font>
    <font>
      <u val="single"/>
      <sz val="14"/>
      <name val="Arial"/>
      <family val="2"/>
    </font>
    <font>
      <sz val="10"/>
      <color indexed="10"/>
      <name val="Arial"/>
      <family val="0"/>
    </font>
    <font>
      <b/>
      <sz val="7"/>
      <color indexed="12"/>
      <name val="Arial"/>
      <family val="2"/>
    </font>
    <font>
      <b/>
      <sz val="7"/>
      <name val="Arial"/>
      <family val="2"/>
    </font>
    <font>
      <b/>
      <sz val="6"/>
      <color indexed="18"/>
      <name val="Arial"/>
      <family val="2"/>
    </font>
    <font>
      <b/>
      <sz val="14"/>
      <name val="Tahoma"/>
      <family val="2"/>
    </font>
    <font>
      <b/>
      <sz val="12"/>
      <name val="Tahoma"/>
      <family val="2"/>
    </font>
    <font>
      <b/>
      <sz val="9"/>
      <name val="Tahoma"/>
      <family val="2"/>
    </font>
    <font>
      <sz val="9"/>
      <name val="Arial"/>
      <family val="0"/>
    </font>
    <font>
      <sz val="9"/>
      <name val="Symbol"/>
      <family val="1"/>
    </font>
    <font>
      <sz val="9"/>
      <name val="Times New Roman"/>
      <family val="1"/>
    </font>
    <font>
      <sz val="9"/>
      <color indexed="20"/>
      <name val="Symbol"/>
      <family val="1"/>
    </font>
    <font>
      <sz val="9"/>
      <color indexed="20"/>
      <name val="Times New Roman"/>
      <family val="1"/>
    </font>
    <font>
      <b/>
      <i/>
      <sz val="9"/>
      <name val="Tahoma"/>
      <family val="2"/>
    </font>
    <font>
      <b/>
      <sz val="1.75"/>
      <name val="Arial"/>
      <family val="0"/>
    </font>
    <font>
      <sz val="1.5"/>
      <name val="Arial"/>
      <family val="0"/>
    </font>
  </fonts>
  <fills count="13">
    <fill>
      <patternFill/>
    </fill>
    <fill>
      <patternFill patternType="gray125"/>
    </fill>
    <fill>
      <patternFill patternType="solid">
        <fgColor indexed="22"/>
        <bgColor indexed="64"/>
      </patternFill>
    </fill>
    <fill>
      <patternFill patternType="solid">
        <fgColor indexed="14"/>
        <bgColor indexed="64"/>
      </patternFill>
    </fill>
    <fill>
      <patternFill patternType="solid">
        <fgColor indexed="40"/>
        <bgColor indexed="64"/>
      </patternFill>
    </fill>
    <fill>
      <patternFill patternType="solid">
        <fgColor indexed="11"/>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52"/>
        <bgColor indexed="64"/>
      </patternFill>
    </fill>
    <fill>
      <patternFill patternType="solid">
        <fgColor indexed="44"/>
        <bgColor indexed="64"/>
      </patternFill>
    </fill>
    <fill>
      <patternFill patternType="gray125">
        <fgColor indexed="8"/>
        <bgColor indexed="22"/>
      </patternFill>
    </fill>
  </fills>
  <borders count="70">
    <border>
      <left/>
      <right/>
      <top/>
      <bottom/>
      <diagonal/>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style="medium"/>
      <bottom style="thin"/>
    </border>
    <border>
      <left style="thin"/>
      <right style="thin"/>
      <top>
        <color indexed="63"/>
      </top>
      <bottom style="medium"/>
    </border>
    <border>
      <left style="thin"/>
      <right>
        <color indexed="63"/>
      </right>
      <top style="medium"/>
      <bottom>
        <color indexed="63"/>
      </bottom>
    </border>
    <border>
      <left style="thin"/>
      <right style="thin"/>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color indexed="63"/>
      </bottom>
    </border>
    <border>
      <left style="double"/>
      <right>
        <color indexed="63"/>
      </right>
      <top style="double"/>
      <bottom>
        <color indexed="63"/>
      </bottom>
    </border>
    <border>
      <left style="thin"/>
      <right>
        <color indexed="63"/>
      </right>
      <top style="thin"/>
      <bottom style="thin"/>
    </border>
    <border>
      <left>
        <color indexed="63"/>
      </left>
      <right style="thin"/>
      <top style="thin"/>
      <bottom>
        <color indexed="63"/>
      </bottom>
    </border>
    <border>
      <left style="double"/>
      <right>
        <color indexed="63"/>
      </right>
      <top>
        <color indexed="63"/>
      </top>
      <bottom style="thin"/>
    </border>
    <border>
      <left style="double"/>
      <right>
        <color indexed="63"/>
      </right>
      <top style="thin"/>
      <bottom style="thin"/>
    </border>
    <border>
      <left>
        <color indexed="63"/>
      </left>
      <right style="double"/>
      <top>
        <color indexed="63"/>
      </top>
      <bottom style="thin"/>
    </border>
    <border>
      <left>
        <color indexed="63"/>
      </left>
      <right style="thin"/>
      <top style="double"/>
      <bottom>
        <color indexed="63"/>
      </bottom>
    </border>
    <border>
      <left style="thin"/>
      <right>
        <color indexed="63"/>
      </right>
      <top style="double"/>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style="medium"/>
      <right>
        <color indexed="63"/>
      </right>
      <top style="thin"/>
      <bottom style="thin"/>
    </border>
    <border>
      <left style="thick"/>
      <right style="medium"/>
      <top style="thick"/>
      <bottom style="medium"/>
    </border>
    <border>
      <left>
        <color indexed="63"/>
      </left>
      <right style="medium"/>
      <top>
        <color indexed="63"/>
      </top>
      <bottom>
        <color indexed="63"/>
      </bottom>
    </border>
    <border>
      <left>
        <color indexed="63"/>
      </left>
      <right style="medium"/>
      <top>
        <color indexed="63"/>
      </top>
      <bottom style="medium"/>
    </border>
    <border>
      <left style="thick"/>
      <right style="medium"/>
      <top>
        <color indexed="63"/>
      </top>
      <bottom style="thick"/>
    </border>
    <border>
      <left>
        <color indexed="63"/>
      </left>
      <right style="medium"/>
      <top>
        <color indexed="63"/>
      </top>
      <bottom style="thick"/>
    </border>
    <border>
      <left>
        <color indexed="63"/>
      </left>
      <right style="thick"/>
      <top>
        <color indexed="63"/>
      </top>
      <bottom style="thick"/>
    </border>
    <border>
      <left style="thin"/>
      <right>
        <color indexed="63"/>
      </right>
      <top>
        <color indexed="63"/>
      </top>
      <bottom style="medium"/>
    </border>
    <border>
      <left>
        <color indexed="63"/>
      </left>
      <right style="thin"/>
      <top>
        <color indexed="63"/>
      </top>
      <bottom style="medium"/>
    </border>
    <border>
      <left style="thick"/>
      <right style="medium"/>
      <top style="medium"/>
      <bottom>
        <color indexed="63"/>
      </bottom>
    </border>
    <border>
      <left style="thick"/>
      <right style="medium"/>
      <top>
        <color indexed="63"/>
      </top>
      <bottom style="medium"/>
    </border>
    <border>
      <left style="medium"/>
      <right style="thick"/>
      <top style="medium"/>
      <bottom>
        <color indexed="63"/>
      </bottom>
    </border>
    <border>
      <left style="medium"/>
      <right style="thick"/>
      <top>
        <color indexed="63"/>
      </top>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medium"/>
    </border>
    <border>
      <left>
        <color indexed="63"/>
      </left>
      <right style="thick"/>
      <top>
        <color indexed="63"/>
      </top>
      <bottom style="medium"/>
    </border>
    <border>
      <left style="thick"/>
      <right>
        <color indexed="63"/>
      </right>
      <top style="medium"/>
      <bottom style="thick"/>
    </border>
    <border>
      <left>
        <color indexed="63"/>
      </left>
      <right>
        <color indexed="63"/>
      </right>
      <top style="medium"/>
      <bottom style="thick"/>
    </border>
    <border>
      <left>
        <color indexed="63"/>
      </left>
      <right style="thick"/>
      <top style="medium"/>
      <bottom style="thick"/>
    </border>
    <border>
      <left style="medium"/>
      <right>
        <color indexed="63"/>
      </right>
      <top style="thick"/>
      <bottom style="medium"/>
    </border>
    <border>
      <left>
        <color indexed="63"/>
      </left>
      <right>
        <color indexed="63"/>
      </right>
      <top style="thick"/>
      <bottom style="medium"/>
    </border>
    <border>
      <left>
        <color indexed="63"/>
      </left>
      <right style="thick"/>
      <top style="thick"/>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20">
    <xf numFmtId="0" fontId="0" fillId="0" borderId="0" xfId="0" applyAlignment="1">
      <alignment/>
    </xf>
    <xf numFmtId="17" fontId="0" fillId="0" borderId="0" xfId="0" applyNumberFormat="1" applyAlignment="1">
      <alignment/>
    </xf>
    <xf numFmtId="0" fontId="1" fillId="0" borderId="0" xfId="0" applyFont="1" applyAlignment="1">
      <alignment/>
    </xf>
    <xf numFmtId="0" fontId="0" fillId="0" borderId="1" xfId="0" applyBorder="1" applyAlignment="1">
      <alignment/>
    </xf>
    <xf numFmtId="0" fontId="0" fillId="0" borderId="0" xfId="0" applyAlignment="1">
      <alignment horizontal="right"/>
    </xf>
    <xf numFmtId="14" fontId="0" fillId="0" borderId="0" xfId="0" applyNumberFormat="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1" fontId="0" fillId="0" borderId="6" xfId="0" applyNumberFormat="1" applyBorder="1" applyAlignment="1">
      <alignment horizontal="center"/>
    </xf>
    <xf numFmtId="0" fontId="0" fillId="0" borderId="0" xfId="0" applyAlignment="1">
      <alignment horizontal="center"/>
    </xf>
    <xf numFmtId="0" fontId="0" fillId="0" borderId="7" xfId="0" applyBorder="1" applyAlignment="1">
      <alignment/>
    </xf>
    <xf numFmtId="0" fontId="0" fillId="0" borderId="7" xfId="0" applyBorder="1" applyAlignment="1">
      <alignment horizontal="center"/>
    </xf>
    <xf numFmtId="0" fontId="0" fillId="0" borderId="2" xfId="0" applyBorder="1" applyAlignment="1" applyProtection="1">
      <alignment/>
      <protection locked="0"/>
    </xf>
    <xf numFmtId="165" fontId="0" fillId="0" borderId="8" xfId="0" applyNumberFormat="1" applyBorder="1" applyAlignment="1" applyProtection="1">
      <alignment horizontal="center"/>
      <protection locked="0"/>
    </xf>
    <xf numFmtId="165" fontId="0" fillId="0" borderId="2" xfId="0" applyNumberFormat="1" applyBorder="1" applyAlignment="1" applyProtection="1">
      <alignment horizontal="center"/>
      <protection locked="0"/>
    </xf>
    <xf numFmtId="2" fontId="0" fillId="0" borderId="2" xfId="0" applyNumberFormat="1" applyBorder="1" applyAlignment="1" applyProtection="1">
      <alignment horizontal="center"/>
      <protection locked="0"/>
    </xf>
    <xf numFmtId="164" fontId="0" fillId="0" borderId="8" xfId="0" applyNumberFormat="1" applyBorder="1" applyAlignment="1" applyProtection="1">
      <alignment horizontal="center"/>
      <protection locked="0"/>
    </xf>
    <xf numFmtId="164" fontId="0" fillId="0" borderId="2" xfId="0" applyNumberFormat="1" applyBorder="1" applyAlignment="1" applyProtection="1">
      <alignment horizontal="center"/>
      <protection locked="0"/>
    </xf>
    <xf numFmtId="49" fontId="0" fillId="0" borderId="8" xfId="0" applyNumberFormat="1" applyBorder="1" applyAlignment="1" applyProtection="1">
      <alignment horizontal="center"/>
      <protection locked="0"/>
    </xf>
    <xf numFmtId="49" fontId="0" fillId="0" borderId="2" xfId="0" applyNumberFormat="1" applyBorder="1" applyAlignment="1" applyProtection="1">
      <alignment horizontal="center"/>
      <protection locked="0"/>
    </xf>
    <xf numFmtId="0" fontId="4" fillId="0" borderId="7" xfId="0" applyFont="1" applyBorder="1" applyAlignment="1">
      <alignment horizontal="center"/>
    </xf>
    <xf numFmtId="0" fontId="4" fillId="0" borderId="9" xfId="0" applyFont="1" applyBorder="1" applyAlignment="1">
      <alignment horizontal="center"/>
    </xf>
    <xf numFmtId="0" fontId="0" fillId="2" borderId="1" xfId="0" applyFill="1" applyBorder="1" applyAlignment="1" applyProtection="1">
      <alignment horizontal="center"/>
      <protection locked="0"/>
    </xf>
    <xf numFmtId="0" fontId="4" fillId="0" borderId="7" xfId="0" applyFont="1" applyBorder="1" applyAlignment="1">
      <alignment/>
    </xf>
    <xf numFmtId="0" fontId="5" fillId="0" borderId="9" xfId="0" applyFont="1" applyBorder="1" applyAlignment="1">
      <alignment horizontal="center"/>
    </xf>
    <xf numFmtId="0" fontId="0" fillId="0" borderId="10" xfId="0" applyBorder="1" applyAlignment="1">
      <alignment/>
    </xf>
    <xf numFmtId="0" fontId="0" fillId="0" borderId="8" xfId="0" applyBorder="1" applyAlignment="1">
      <alignment/>
    </xf>
    <xf numFmtId="2" fontId="0" fillId="0" borderId="2" xfId="0" applyNumberFormat="1" applyBorder="1" applyAlignment="1">
      <alignment horizontal="center"/>
    </xf>
    <xf numFmtId="2" fontId="0" fillId="0" borderId="8" xfId="0" applyNumberFormat="1" applyBorder="1" applyAlignment="1">
      <alignment/>
    </xf>
    <xf numFmtId="2" fontId="0" fillId="0" borderId="2" xfId="0" applyNumberFormat="1" applyBorder="1" applyAlignment="1">
      <alignment/>
    </xf>
    <xf numFmtId="0" fontId="1" fillId="0" borderId="9" xfId="0" applyFont="1" applyBorder="1" applyAlignment="1">
      <alignment horizontal="center"/>
    </xf>
    <xf numFmtId="0" fontId="1" fillId="0" borderId="11" xfId="0" applyFont="1" applyBorder="1" applyAlignment="1">
      <alignment horizontal="center"/>
    </xf>
    <xf numFmtId="164" fontId="0" fillId="2" borderId="6" xfId="0" applyNumberFormat="1" applyFill="1" applyBorder="1" applyAlignment="1" applyProtection="1">
      <alignment horizontal="center"/>
      <protection locked="0"/>
    </xf>
    <xf numFmtId="2" fontId="0" fillId="2" borderId="6" xfId="0" applyNumberFormat="1" applyFill="1" applyBorder="1" applyAlignment="1" applyProtection="1">
      <alignment horizontal="center"/>
      <protection locked="0"/>
    </xf>
    <xf numFmtId="0" fontId="0" fillId="0" borderId="0" xfId="0" applyFont="1" applyAlignment="1">
      <alignment/>
    </xf>
    <xf numFmtId="0" fontId="4" fillId="0" borderId="0" xfId="0" applyFont="1" applyAlignment="1">
      <alignment/>
    </xf>
    <xf numFmtId="0" fontId="0" fillId="0" borderId="12" xfId="0" applyBorder="1" applyAlignment="1">
      <alignment/>
    </xf>
    <xf numFmtId="12" fontId="0" fillId="0" borderId="2" xfId="0" applyNumberFormat="1" applyBorder="1" applyAlignment="1">
      <alignment horizontal="center"/>
    </xf>
    <xf numFmtId="0" fontId="0" fillId="2" borderId="13" xfId="0" applyFill="1" applyBorder="1" applyAlignment="1">
      <alignment horizontal="center"/>
    </xf>
    <xf numFmtId="0" fontId="0" fillId="0" borderId="2" xfId="0" applyBorder="1" applyAlignment="1">
      <alignment horizontal="center"/>
    </xf>
    <xf numFmtId="0" fontId="0" fillId="0" borderId="13" xfId="0" applyBorder="1" applyAlignment="1">
      <alignment horizontal="center"/>
    </xf>
    <xf numFmtId="0" fontId="0" fillId="2" borderId="0" xfId="0" applyFill="1" applyAlignment="1">
      <alignment horizontal="center"/>
    </xf>
    <xf numFmtId="0" fontId="0" fillId="2" borderId="6" xfId="0" applyFill="1" applyBorder="1" applyAlignment="1">
      <alignment horizontal="center"/>
    </xf>
    <xf numFmtId="0" fontId="0" fillId="0" borderId="6" xfId="0" applyBorder="1" applyAlignment="1">
      <alignment horizontal="center"/>
    </xf>
    <xf numFmtId="0" fontId="0" fillId="0" borderId="14" xfId="0" applyBorder="1" applyAlignment="1">
      <alignment horizontal="center"/>
    </xf>
    <xf numFmtId="0" fontId="0" fillId="0" borderId="0" xfId="0" applyAlignment="1">
      <alignment horizontal="left"/>
    </xf>
    <xf numFmtId="16" fontId="0" fillId="0" borderId="0" xfId="0" applyNumberFormat="1" applyAlignment="1">
      <alignment/>
    </xf>
    <xf numFmtId="0" fontId="0" fillId="3" borderId="0" xfId="0" applyFill="1" applyAlignment="1">
      <alignment horizontal="center"/>
    </xf>
    <xf numFmtId="0" fontId="0" fillId="3" borderId="0" xfId="0" applyFill="1" applyAlignment="1">
      <alignment/>
    </xf>
    <xf numFmtId="0" fontId="0" fillId="4" borderId="0" xfId="0" applyFill="1" applyAlignment="1">
      <alignment horizontal="center"/>
    </xf>
    <xf numFmtId="0" fontId="0" fillId="4" borderId="0" xfId="0" applyFill="1" applyAlignment="1">
      <alignment/>
    </xf>
    <xf numFmtId="0" fontId="0" fillId="5" borderId="0" xfId="0" applyFill="1" applyAlignment="1">
      <alignment horizontal="center"/>
    </xf>
    <xf numFmtId="0" fontId="0" fillId="5" borderId="0" xfId="0" applyFill="1" applyAlignment="1">
      <alignment/>
    </xf>
    <xf numFmtId="0" fontId="0" fillId="0" borderId="11" xfId="0" applyBorder="1" applyAlignment="1">
      <alignment/>
    </xf>
    <xf numFmtId="0" fontId="0" fillId="0" borderId="15" xfId="0" applyBorder="1" applyAlignment="1">
      <alignment/>
    </xf>
    <xf numFmtId="164" fontId="0" fillId="0" borderId="0" xfId="0" applyNumberFormat="1" applyAlignment="1">
      <alignment/>
    </xf>
    <xf numFmtId="164" fontId="0" fillId="0" borderId="0" xfId="0" applyNumberFormat="1" applyAlignment="1">
      <alignment horizontal="right"/>
    </xf>
    <xf numFmtId="167" fontId="0" fillId="0" borderId="2" xfId="0" applyNumberFormat="1" applyBorder="1" applyAlignment="1">
      <alignment/>
    </xf>
    <xf numFmtId="2" fontId="0" fillId="0" borderId="0" xfId="0" applyNumberFormat="1" applyAlignment="1">
      <alignment/>
    </xf>
    <xf numFmtId="2" fontId="0" fillId="0" borderId="8" xfId="0" applyNumberFormat="1" applyBorder="1" applyAlignment="1">
      <alignment horizontal="center"/>
    </xf>
    <xf numFmtId="0" fontId="8" fillId="0" borderId="7"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 fillId="0" borderId="0" xfId="0" applyFont="1"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1" fillId="0" borderId="21" xfId="0" applyFont="1" applyBorder="1" applyAlignment="1">
      <alignment/>
    </xf>
    <xf numFmtId="0" fontId="0" fillId="0" borderId="22" xfId="0" applyBorder="1" applyAlignment="1">
      <alignment/>
    </xf>
    <xf numFmtId="1" fontId="0" fillId="2" borderId="6" xfId="0" applyNumberFormat="1" applyFill="1" applyBorder="1" applyAlignment="1" applyProtection="1">
      <alignment horizontal="center"/>
      <protection locked="0"/>
    </xf>
    <xf numFmtId="1" fontId="0" fillId="2" borderId="1" xfId="0" applyNumberFormat="1" applyFill="1" applyBorder="1" applyAlignment="1" applyProtection="1">
      <alignment horizontal="center"/>
      <protection locked="0"/>
    </xf>
    <xf numFmtId="164" fontId="0" fillId="0" borderId="2" xfId="0" applyNumberFormat="1" applyBorder="1" applyAlignment="1">
      <alignment/>
    </xf>
    <xf numFmtId="0" fontId="4" fillId="0" borderId="23" xfId="0" applyFont="1" applyBorder="1" applyAlignment="1">
      <alignment/>
    </xf>
    <xf numFmtId="0" fontId="4" fillId="0" borderId="24" xfId="0" applyFont="1" applyBorder="1" applyAlignment="1">
      <alignment/>
    </xf>
    <xf numFmtId="0" fontId="1" fillId="0" borderId="19" xfId="0" applyFont="1" applyBorder="1" applyAlignment="1">
      <alignment/>
    </xf>
    <xf numFmtId="0" fontId="1" fillId="0" borderId="22" xfId="0" applyFont="1" applyBorder="1" applyAlignment="1">
      <alignment/>
    </xf>
    <xf numFmtId="164" fontId="0" fillId="0" borderId="21" xfId="0" applyNumberFormat="1" applyBorder="1" applyAlignment="1">
      <alignment horizontal="center"/>
    </xf>
    <xf numFmtId="2" fontId="0" fillId="0" borderId="21" xfId="0" applyNumberFormat="1" applyBorder="1" applyAlignment="1">
      <alignment horizontal="center"/>
    </xf>
    <xf numFmtId="164" fontId="0" fillId="6" borderId="6" xfId="0" applyNumberFormat="1" applyFill="1" applyBorder="1" applyAlignment="1" applyProtection="1">
      <alignment horizontal="center"/>
      <protection locked="0"/>
    </xf>
    <xf numFmtId="2" fontId="0" fillId="0" borderId="0" xfId="0" applyNumberFormat="1" applyBorder="1" applyAlignment="1">
      <alignment horizontal="center"/>
    </xf>
    <xf numFmtId="165" fontId="0" fillId="0" borderId="2" xfId="0" applyNumberFormat="1" applyBorder="1" applyAlignment="1">
      <alignment/>
    </xf>
    <xf numFmtId="2" fontId="0" fillId="0" borderId="0" xfId="0" applyNumberFormat="1" applyBorder="1" applyAlignment="1">
      <alignment/>
    </xf>
    <xf numFmtId="2" fontId="0" fillId="0" borderId="0" xfId="0" applyNumberFormat="1" applyAlignment="1">
      <alignment horizontal="center"/>
    </xf>
    <xf numFmtId="1" fontId="0" fillId="0" borderId="2" xfId="0" applyNumberFormat="1" applyBorder="1" applyAlignment="1">
      <alignment/>
    </xf>
    <xf numFmtId="0" fontId="0" fillId="2" borderId="2" xfId="0" applyFill="1" applyBorder="1" applyAlignment="1">
      <alignment horizontal="center"/>
    </xf>
    <xf numFmtId="0" fontId="4" fillId="0" borderId="0" xfId="0" applyFont="1" applyAlignment="1">
      <alignment/>
    </xf>
    <xf numFmtId="0" fontId="0" fillId="0" borderId="0" xfId="0" applyAlignment="1" quotePrefix="1">
      <alignment horizontal="center"/>
    </xf>
    <xf numFmtId="164" fontId="0" fillId="6" borderId="0" xfId="0" applyNumberFormat="1" applyFill="1" applyBorder="1" applyAlignment="1" applyProtection="1">
      <alignment horizontal="center"/>
      <protection locked="0"/>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8" fillId="0" borderId="0" xfId="0" applyFont="1" applyAlignment="1">
      <alignment/>
    </xf>
    <xf numFmtId="49" fontId="0" fillId="0" borderId="0" xfId="0" applyNumberFormat="1" applyAlignment="1">
      <alignment/>
    </xf>
    <xf numFmtId="49" fontId="0" fillId="0" borderId="0" xfId="0" applyNumberFormat="1" applyAlignment="1">
      <alignment horizontal="center"/>
    </xf>
    <xf numFmtId="49" fontId="0" fillId="0" borderId="11" xfId="0" applyNumberFormat="1" applyBorder="1" applyAlignment="1">
      <alignment horizontal="center"/>
    </xf>
    <xf numFmtId="49" fontId="0" fillId="0" borderId="11" xfId="0" applyNumberFormat="1" applyBorder="1" applyAlignment="1">
      <alignment/>
    </xf>
    <xf numFmtId="49" fontId="0" fillId="0" borderId="15" xfId="0" applyNumberFormat="1" applyBorder="1" applyAlignment="1">
      <alignment horizontal="center"/>
    </xf>
    <xf numFmtId="49" fontId="0" fillId="0" borderId="15" xfId="0" applyNumberFormat="1" applyBorder="1" applyAlignment="1">
      <alignment/>
    </xf>
    <xf numFmtId="49" fontId="4" fillId="0" borderId="2" xfId="0" applyNumberFormat="1" applyFont="1" applyBorder="1" applyAlignment="1">
      <alignment horizontal="center"/>
    </xf>
    <xf numFmtId="49" fontId="4" fillId="0" borderId="2" xfId="0" applyNumberFormat="1" applyFont="1" applyBorder="1" applyAlignment="1">
      <alignment/>
    </xf>
    <xf numFmtId="49" fontId="0" fillId="0" borderId="7" xfId="0" applyNumberFormat="1" applyBorder="1" applyAlignment="1">
      <alignment horizontal="center"/>
    </xf>
    <xf numFmtId="49" fontId="0" fillId="0" borderId="7" xfId="0" applyNumberFormat="1" applyBorder="1" applyAlignment="1">
      <alignment/>
    </xf>
    <xf numFmtId="164" fontId="0" fillId="0" borderId="1" xfId="0" applyNumberFormat="1" applyBorder="1" applyAlignment="1">
      <alignment horizontal="center"/>
    </xf>
    <xf numFmtId="49" fontId="0" fillId="0" borderId="2" xfId="0" applyNumberFormat="1" applyBorder="1" applyAlignment="1">
      <alignment horizontal="center"/>
    </xf>
    <xf numFmtId="49" fontId="0" fillId="0" borderId="2" xfId="0" applyNumberFormat="1" applyBorder="1" applyAlignment="1">
      <alignment/>
    </xf>
    <xf numFmtId="0" fontId="0" fillId="0" borderId="20" xfId="0" applyBorder="1" applyAlignment="1">
      <alignment horizontal="left"/>
    </xf>
    <xf numFmtId="0" fontId="0" fillId="0" borderId="1" xfId="0" applyBorder="1" applyAlignment="1" applyProtection="1">
      <alignment/>
      <protection locked="0"/>
    </xf>
    <xf numFmtId="0" fontId="16" fillId="0" borderId="0" xfId="0" applyFont="1" applyAlignment="1">
      <alignment horizontal="center"/>
    </xf>
    <xf numFmtId="0" fontId="17" fillId="0" borderId="0" xfId="0" applyFont="1" applyAlignment="1">
      <alignment/>
    </xf>
    <xf numFmtId="0" fontId="16" fillId="7" borderId="24" xfId="0" applyFont="1" applyFill="1" applyBorder="1" applyAlignment="1">
      <alignment/>
    </xf>
    <xf numFmtId="0" fontId="17" fillId="7" borderId="16" xfId="0" applyFont="1" applyFill="1" applyBorder="1" applyAlignment="1">
      <alignment/>
    </xf>
    <xf numFmtId="0" fontId="17" fillId="7" borderId="17" xfId="0" applyFont="1" applyFill="1" applyBorder="1" applyAlignment="1">
      <alignment/>
    </xf>
    <xf numFmtId="0" fontId="17" fillId="7" borderId="0" xfId="0" applyFont="1" applyFill="1" applyBorder="1" applyAlignment="1">
      <alignment/>
    </xf>
    <xf numFmtId="0" fontId="17" fillId="7" borderId="19" xfId="0" applyFont="1" applyFill="1" applyBorder="1" applyAlignment="1">
      <alignment/>
    </xf>
    <xf numFmtId="0" fontId="17" fillId="7" borderId="18" xfId="0" applyFont="1" applyFill="1" applyBorder="1" applyAlignment="1">
      <alignment/>
    </xf>
    <xf numFmtId="0" fontId="17" fillId="7" borderId="20" xfId="0" applyFont="1" applyFill="1" applyBorder="1" applyAlignment="1">
      <alignment/>
    </xf>
    <xf numFmtId="0" fontId="17" fillId="7" borderId="21" xfId="0" applyFont="1" applyFill="1" applyBorder="1" applyAlignment="1">
      <alignment/>
    </xf>
    <xf numFmtId="0" fontId="17" fillId="7" borderId="22" xfId="0" applyFont="1" applyFill="1" applyBorder="1" applyAlignment="1">
      <alignment/>
    </xf>
    <xf numFmtId="0" fontId="18" fillId="0" borderId="0" xfId="0" applyFont="1" applyAlignment="1">
      <alignment/>
    </xf>
    <xf numFmtId="0" fontId="19" fillId="0" borderId="0" xfId="0" applyFont="1" applyAlignment="1">
      <alignment/>
    </xf>
    <xf numFmtId="0" fontId="17" fillId="8" borderId="24" xfId="0" applyFont="1" applyFill="1" applyBorder="1" applyAlignment="1">
      <alignment/>
    </xf>
    <xf numFmtId="0" fontId="17" fillId="8" borderId="16" xfId="0" applyFont="1" applyFill="1" applyBorder="1" applyAlignment="1">
      <alignment/>
    </xf>
    <xf numFmtId="0" fontId="17" fillId="8" borderId="17" xfId="0" applyFont="1" applyFill="1" applyBorder="1" applyAlignment="1">
      <alignment/>
    </xf>
    <xf numFmtId="0" fontId="17" fillId="8" borderId="0" xfId="0" applyFont="1" applyFill="1" applyBorder="1" applyAlignment="1">
      <alignment/>
    </xf>
    <xf numFmtId="0" fontId="17" fillId="8" borderId="18" xfId="0" applyFont="1" applyFill="1" applyBorder="1" applyAlignment="1">
      <alignment/>
    </xf>
    <xf numFmtId="0" fontId="17" fillId="8" borderId="19" xfId="0" applyFont="1" applyFill="1" applyBorder="1" applyAlignment="1">
      <alignment/>
    </xf>
    <xf numFmtId="0" fontId="17" fillId="8" borderId="20" xfId="0" applyFont="1" applyFill="1" applyBorder="1" applyAlignment="1">
      <alignment/>
    </xf>
    <xf numFmtId="0" fontId="17" fillId="8" borderId="21" xfId="0" applyFont="1" applyFill="1" applyBorder="1" applyAlignment="1">
      <alignment/>
    </xf>
    <xf numFmtId="0" fontId="17" fillId="8" borderId="22" xfId="0" applyFont="1" applyFill="1" applyBorder="1" applyAlignment="1">
      <alignment/>
    </xf>
    <xf numFmtId="0" fontId="17" fillId="7" borderId="24" xfId="0" applyFont="1" applyFill="1" applyBorder="1" applyAlignment="1">
      <alignment/>
    </xf>
    <xf numFmtId="0" fontId="17" fillId="7" borderId="0" xfId="0" applyFont="1" applyFill="1" applyBorder="1" applyAlignment="1">
      <alignment horizontal="center"/>
    </xf>
    <xf numFmtId="0" fontId="17" fillId="7" borderId="0" xfId="0" applyFont="1" applyFill="1" applyBorder="1" applyAlignment="1">
      <alignment horizontal="left"/>
    </xf>
    <xf numFmtId="0" fontId="17" fillId="7" borderId="0" xfId="0" applyFont="1" applyFill="1" applyBorder="1" applyAlignment="1">
      <alignment horizontal="right"/>
    </xf>
    <xf numFmtId="0" fontId="17" fillId="0" borderId="0" xfId="0" applyFont="1" applyBorder="1" applyAlignment="1">
      <alignment/>
    </xf>
    <xf numFmtId="0" fontId="17" fillId="9" borderId="24" xfId="0" applyFont="1" applyFill="1" applyBorder="1" applyAlignment="1">
      <alignment/>
    </xf>
    <xf numFmtId="0" fontId="17" fillId="9" borderId="16" xfId="0" applyFont="1" applyFill="1" applyBorder="1" applyAlignment="1">
      <alignment/>
    </xf>
    <xf numFmtId="0" fontId="17" fillId="9" borderId="17" xfId="0" applyFont="1" applyFill="1" applyBorder="1" applyAlignment="1">
      <alignment/>
    </xf>
    <xf numFmtId="0" fontId="17" fillId="9" borderId="0" xfId="0" applyFont="1" applyFill="1" applyBorder="1" applyAlignment="1">
      <alignment/>
    </xf>
    <xf numFmtId="0" fontId="17" fillId="9" borderId="19" xfId="0" applyFont="1" applyFill="1" applyBorder="1" applyAlignment="1">
      <alignment/>
    </xf>
    <xf numFmtId="0" fontId="17" fillId="9" borderId="18" xfId="0" applyFont="1" applyFill="1" applyBorder="1" applyAlignment="1">
      <alignment/>
    </xf>
    <xf numFmtId="0" fontId="17" fillId="9" borderId="0" xfId="0" applyFont="1" applyFill="1" applyBorder="1" applyAlignment="1">
      <alignment horizontal="center"/>
    </xf>
    <xf numFmtId="0" fontId="17" fillId="9" borderId="0" xfId="0" applyFont="1" applyFill="1" applyBorder="1" applyAlignment="1">
      <alignment horizontal="left"/>
    </xf>
    <xf numFmtId="0" fontId="17" fillId="9" borderId="0" xfId="0" applyFont="1" applyFill="1" applyBorder="1" applyAlignment="1">
      <alignment horizontal="right"/>
    </xf>
    <xf numFmtId="0" fontId="17" fillId="9" borderId="20" xfId="0" applyFont="1" applyFill="1" applyBorder="1" applyAlignment="1">
      <alignment/>
    </xf>
    <xf numFmtId="0" fontId="17" fillId="9" borderId="21" xfId="0" applyFont="1" applyFill="1" applyBorder="1" applyAlignment="1">
      <alignment/>
    </xf>
    <xf numFmtId="0" fontId="17" fillId="9" borderId="22" xfId="0" applyFont="1" applyFill="1" applyBorder="1" applyAlignment="1">
      <alignment/>
    </xf>
    <xf numFmtId="0" fontId="17" fillId="10" borderId="24" xfId="0" applyFont="1" applyFill="1" applyBorder="1" applyAlignment="1">
      <alignment/>
    </xf>
    <xf numFmtId="0" fontId="17" fillId="10" borderId="16" xfId="0" applyFont="1" applyFill="1" applyBorder="1" applyAlignment="1">
      <alignment/>
    </xf>
    <xf numFmtId="0" fontId="17" fillId="10" borderId="17" xfId="0" applyFont="1" applyFill="1" applyBorder="1" applyAlignment="1">
      <alignment horizontal="right"/>
    </xf>
    <xf numFmtId="0" fontId="17" fillId="10" borderId="18" xfId="0" applyFont="1" applyFill="1" applyBorder="1" applyAlignment="1">
      <alignment/>
    </xf>
    <xf numFmtId="0" fontId="17" fillId="10" borderId="0" xfId="0" applyFont="1" applyFill="1" applyBorder="1" applyAlignment="1">
      <alignment/>
    </xf>
    <xf numFmtId="0" fontId="17" fillId="10" borderId="19" xfId="0" applyFont="1" applyFill="1" applyBorder="1" applyAlignment="1">
      <alignment horizontal="right"/>
    </xf>
    <xf numFmtId="0" fontId="17" fillId="10" borderId="20" xfId="0" applyFont="1" applyFill="1" applyBorder="1" applyAlignment="1">
      <alignment/>
    </xf>
    <xf numFmtId="0" fontId="17" fillId="10" borderId="21" xfId="0" applyFont="1" applyFill="1" applyBorder="1" applyAlignment="1">
      <alignment/>
    </xf>
    <xf numFmtId="0" fontId="17" fillId="10" borderId="22" xfId="0" applyFont="1" applyFill="1" applyBorder="1" applyAlignment="1">
      <alignment horizontal="right"/>
    </xf>
    <xf numFmtId="0" fontId="18" fillId="0" borderId="0" xfId="0" applyFont="1" applyAlignment="1" applyProtection="1">
      <alignment/>
      <protection locked="0"/>
    </xf>
    <xf numFmtId="0" fontId="16" fillId="11" borderId="25" xfId="0" applyFont="1" applyFill="1" applyBorder="1" applyAlignment="1">
      <alignment/>
    </xf>
    <xf numFmtId="0" fontId="0" fillId="11" borderId="1" xfId="0" applyFill="1" applyBorder="1" applyAlignment="1">
      <alignment/>
    </xf>
    <xf numFmtId="0" fontId="4" fillId="11" borderId="12" xfId="0" applyFont="1" applyFill="1" applyBorder="1" applyAlignment="1">
      <alignment horizontal="center"/>
    </xf>
    <xf numFmtId="165" fontId="0" fillId="0" borderId="0" xfId="0" applyNumberFormat="1" applyAlignment="1">
      <alignment/>
    </xf>
    <xf numFmtId="0" fontId="0" fillId="11" borderId="2" xfId="0" applyFill="1" applyBorder="1" applyAlignment="1">
      <alignment/>
    </xf>
    <xf numFmtId="0" fontId="17" fillId="0" borderId="23" xfId="0" applyFont="1" applyBorder="1" applyAlignment="1">
      <alignment/>
    </xf>
    <xf numFmtId="0" fontId="17" fillId="0" borderId="3" xfId="0" applyFont="1" applyBorder="1" applyAlignment="1">
      <alignment/>
    </xf>
    <xf numFmtId="0" fontId="0" fillId="0" borderId="26" xfId="0" applyBorder="1" applyAlignment="1">
      <alignment/>
    </xf>
    <xf numFmtId="0" fontId="20" fillId="0" borderId="5" xfId="0" applyFont="1" applyBorder="1" applyAlignment="1">
      <alignment horizontal="right"/>
    </xf>
    <xf numFmtId="0" fontId="17" fillId="0" borderId="6" xfId="0" applyFont="1" applyBorder="1" applyAlignment="1">
      <alignment/>
    </xf>
    <xf numFmtId="0" fontId="0" fillId="0" borderId="14" xfId="0" applyBorder="1" applyAlignment="1">
      <alignment/>
    </xf>
    <xf numFmtId="0" fontId="0" fillId="0" borderId="23" xfId="0" applyBorder="1" applyAlignment="1">
      <alignment horizontal="right"/>
    </xf>
    <xf numFmtId="0" fontId="0" fillId="0" borderId="4" xfId="0" applyBorder="1" applyAlignment="1">
      <alignment horizontal="right"/>
    </xf>
    <xf numFmtId="0" fontId="0" fillId="0" borderId="0" xfId="0" applyBorder="1" applyAlignment="1">
      <alignment horizontal="left"/>
    </xf>
    <xf numFmtId="0" fontId="0" fillId="0" borderId="13" xfId="0" applyBorder="1" applyAlignment="1">
      <alignment/>
    </xf>
    <xf numFmtId="0" fontId="0" fillId="0" borderId="5" xfId="0" applyBorder="1" applyAlignment="1">
      <alignment horizontal="right"/>
    </xf>
    <xf numFmtId="0" fontId="17" fillId="0" borderId="26" xfId="0" applyFont="1" applyBorder="1" applyAlignment="1">
      <alignment/>
    </xf>
    <xf numFmtId="0" fontId="17" fillId="0" borderId="14" xfId="0" applyFont="1" applyBorder="1" applyAlignment="1">
      <alignment/>
    </xf>
    <xf numFmtId="0" fontId="17" fillId="0" borderId="3" xfId="0" applyFont="1" applyBorder="1" applyAlignment="1">
      <alignment horizontal="right"/>
    </xf>
    <xf numFmtId="0" fontId="20" fillId="0" borderId="6" xfId="0" applyFont="1" applyBorder="1" applyAlignment="1">
      <alignment horizontal="right"/>
    </xf>
    <xf numFmtId="0" fontId="0" fillId="0" borderId="0" xfId="0" applyBorder="1" applyAlignment="1">
      <alignment horizontal="right"/>
    </xf>
    <xf numFmtId="0" fontId="0" fillId="0" borderId="6" xfId="0" applyBorder="1" applyAlignment="1">
      <alignment horizontal="right"/>
    </xf>
    <xf numFmtId="0" fontId="17" fillId="7" borderId="27" xfId="0" applyFont="1" applyFill="1" applyBorder="1" applyAlignment="1" applyProtection="1">
      <alignment/>
      <protection locked="0"/>
    </xf>
    <xf numFmtId="0" fontId="17" fillId="7" borderId="28" xfId="0" applyFont="1" applyFill="1" applyBorder="1" applyAlignment="1" applyProtection="1">
      <alignment/>
      <protection locked="0"/>
    </xf>
    <xf numFmtId="0" fontId="17" fillId="7" borderId="6" xfId="0" applyFont="1" applyFill="1" applyBorder="1" applyAlignment="1" applyProtection="1">
      <alignment/>
      <protection locked="0"/>
    </xf>
    <xf numFmtId="0" fontId="0" fillId="7" borderId="6" xfId="0" applyFill="1" applyBorder="1" applyAlignment="1" applyProtection="1">
      <alignment/>
      <protection locked="0"/>
    </xf>
    <xf numFmtId="0" fontId="0" fillId="7" borderId="0" xfId="0" applyFill="1" applyBorder="1" applyAlignment="1">
      <alignment/>
    </xf>
    <xf numFmtId="0" fontId="0" fillId="7" borderId="19" xfId="0" applyFill="1" applyBorder="1" applyAlignment="1">
      <alignment/>
    </xf>
    <xf numFmtId="0" fontId="0" fillId="7" borderId="18" xfId="0" applyFill="1" applyBorder="1" applyAlignment="1">
      <alignment/>
    </xf>
    <xf numFmtId="0" fontId="0" fillId="7" borderId="29" xfId="0" applyFill="1" applyBorder="1" applyAlignment="1" applyProtection="1">
      <alignment/>
      <protection locked="0"/>
    </xf>
    <xf numFmtId="0" fontId="0" fillId="0" borderId="16" xfId="0" applyBorder="1" applyAlignment="1" applyProtection="1">
      <alignment/>
      <protection locked="0"/>
    </xf>
    <xf numFmtId="0" fontId="0" fillId="0" borderId="30" xfId="0" applyBorder="1" applyAlignment="1" applyProtection="1">
      <alignment/>
      <protection locked="0"/>
    </xf>
    <xf numFmtId="0" fontId="0" fillId="0" borderId="4" xfId="0" applyBorder="1" applyAlignment="1" applyProtection="1">
      <alignment/>
      <protection locked="0"/>
    </xf>
    <xf numFmtId="0" fontId="0" fillId="0" borderId="0" xfId="0" applyBorder="1" applyAlignment="1" applyProtection="1">
      <alignment/>
      <protection locked="0"/>
    </xf>
    <xf numFmtId="0" fontId="0" fillId="0" borderId="13" xfId="0" applyBorder="1" applyAlignment="1" applyProtection="1">
      <alignment/>
      <protection locked="0"/>
    </xf>
    <xf numFmtId="0" fontId="0" fillId="0" borderId="5" xfId="0" applyBorder="1" applyAlignment="1" applyProtection="1">
      <alignment/>
      <protection locked="0"/>
    </xf>
    <xf numFmtId="0" fontId="0" fillId="0" borderId="6" xfId="0" applyBorder="1" applyAlignment="1" applyProtection="1">
      <alignment/>
      <protection locked="0"/>
    </xf>
    <xf numFmtId="0" fontId="0" fillId="0" borderId="14" xfId="0" applyBorder="1" applyAlignment="1" applyProtection="1">
      <alignment/>
      <protection locked="0"/>
    </xf>
    <xf numFmtId="0" fontId="16" fillId="0" borderId="31" xfId="0" applyFont="1" applyBorder="1" applyAlignment="1" applyProtection="1">
      <alignment/>
      <protection locked="0"/>
    </xf>
    <xf numFmtId="0" fontId="19" fillId="0" borderId="23" xfId="0" applyFont="1" applyBorder="1" applyAlignment="1">
      <alignment/>
    </xf>
    <xf numFmtId="0" fontId="4" fillId="11" borderId="25" xfId="0" applyFont="1" applyFill="1" applyBorder="1" applyAlignment="1">
      <alignment/>
    </xf>
    <xf numFmtId="0" fontId="0" fillId="11" borderId="3" xfId="0" applyFill="1" applyBorder="1" applyAlignment="1">
      <alignment/>
    </xf>
    <xf numFmtId="0" fontId="4" fillId="11" borderId="26" xfId="0" applyFont="1" applyFill="1" applyBorder="1" applyAlignment="1">
      <alignment horizontal="center"/>
    </xf>
    <xf numFmtId="0" fontId="0" fillId="0" borderId="23" xfId="0" applyBorder="1" applyAlignment="1">
      <alignment/>
    </xf>
    <xf numFmtId="0" fontId="17" fillId="0" borderId="26" xfId="0" applyFont="1" applyBorder="1" applyAlignment="1">
      <alignment horizontal="left"/>
    </xf>
    <xf numFmtId="0" fontId="20" fillId="0" borderId="14" xfId="0" applyFont="1" applyBorder="1" applyAlignment="1">
      <alignment horizontal="left"/>
    </xf>
    <xf numFmtId="0" fontId="0" fillId="0" borderId="26"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168" fontId="0" fillId="0" borderId="0" xfId="0" applyNumberFormat="1" applyAlignment="1">
      <alignment horizontal="center"/>
    </xf>
    <xf numFmtId="0" fontId="0" fillId="0" borderId="0" xfId="0" applyAlignment="1" applyProtection="1">
      <alignment/>
      <protection locked="0"/>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22" fillId="0" borderId="33" xfId="0" applyFont="1" applyBorder="1" applyAlignment="1">
      <alignment/>
    </xf>
    <xf numFmtId="0" fontId="0" fillId="0" borderId="39" xfId="0" applyBorder="1" applyAlignment="1">
      <alignment/>
    </xf>
    <xf numFmtId="169" fontId="0" fillId="0" borderId="0" xfId="0" applyNumberFormat="1" applyAlignment="1">
      <alignment/>
    </xf>
    <xf numFmtId="0" fontId="0" fillId="0" borderId="40" xfId="0" applyBorder="1" applyAlignment="1" applyProtection="1">
      <alignment/>
      <protection/>
    </xf>
    <xf numFmtId="0" fontId="0" fillId="0" borderId="41" xfId="0" applyBorder="1" applyAlignment="1" applyProtection="1">
      <alignment/>
      <protection/>
    </xf>
    <xf numFmtId="0" fontId="0" fillId="0" borderId="42" xfId="0" applyBorder="1" applyAlignment="1" applyProtection="1">
      <alignment/>
      <protection/>
    </xf>
    <xf numFmtId="170" fontId="0" fillId="0" borderId="40" xfId="0" applyNumberFormat="1" applyBorder="1" applyAlignment="1" applyProtection="1">
      <alignment horizontal="center"/>
      <protection/>
    </xf>
    <xf numFmtId="174" fontId="0" fillId="0" borderId="41" xfId="0" applyNumberFormat="1" applyBorder="1" applyAlignment="1">
      <alignment/>
    </xf>
    <xf numFmtId="173" fontId="0" fillId="0" borderId="41" xfId="0" applyNumberFormat="1" applyBorder="1" applyAlignment="1" applyProtection="1">
      <alignment horizontal="center"/>
      <protection/>
    </xf>
    <xf numFmtId="0" fontId="0" fillId="0" borderId="0" xfId="0" applyNumberFormat="1" applyBorder="1" applyAlignment="1" applyProtection="1">
      <alignment horizontal="center"/>
      <protection/>
    </xf>
    <xf numFmtId="177" fontId="0" fillId="0" borderId="42" xfId="0" applyNumberFormat="1" applyBorder="1" applyAlignment="1" applyProtection="1">
      <alignment/>
      <protection/>
    </xf>
    <xf numFmtId="0" fontId="0" fillId="0" borderId="43" xfId="0" applyBorder="1" applyAlignment="1">
      <alignment/>
    </xf>
    <xf numFmtId="0" fontId="0" fillId="0" borderId="44" xfId="0" applyBorder="1" applyAlignment="1" applyProtection="1">
      <alignment/>
      <protection locked="0"/>
    </xf>
    <xf numFmtId="0" fontId="22" fillId="0" borderId="23" xfId="0" applyFont="1" applyBorder="1" applyAlignment="1">
      <alignment/>
    </xf>
    <xf numFmtId="178" fontId="0" fillId="0" borderId="13" xfId="0" applyNumberFormat="1" applyBorder="1" applyAlignment="1">
      <alignment horizontal="center"/>
    </xf>
    <xf numFmtId="179" fontId="0" fillId="0" borderId="13" xfId="0" applyNumberFormat="1" applyBorder="1" applyAlignment="1">
      <alignment horizontal="center"/>
    </xf>
    <xf numFmtId="180" fontId="0" fillId="0" borderId="13" xfId="0" applyNumberFormat="1" applyBorder="1" applyAlignment="1">
      <alignment horizontal="center"/>
    </xf>
    <xf numFmtId="182" fontId="0" fillId="0" borderId="13" xfId="0" applyNumberFormat="1" applyBorder="1" applyAlignment="1">
      <alignment horizontal="center"/>
    </xf>
    <xf numFmtId="0" fontId="0" fillId="0" borderId="6" xfId="0" applyNumberFormat="1" applyBorder="1" applyAlignment="1">
      <alignment horizontal="center"/>
    </xf>
    <xf numFmtId="184" fontId="0" fillId="0" borderId="6" xfId="0" applyNumberFormat="1" applyBorder="1" applyAlignment="1">
      <alignment horizontal="center"/>
    </xf>
    <xf numFmtId="2" fontId="0" fillId="0" borderId="6" xfId="0" applyNumberFormat="1" applyBorder="1" applyAlignment="1" applyProtection="1">
      <alignment horizontal="center"/>
      <protection locked="0"/>
    </xf>
    <xf numFmtId="0" fontId="17" fillId="8" borderId="27" xfId="0" applyFont="1" applyFill="1" applyBorder="1" applyAlignment="1" applyProtection="1">
      <alignment/>
      <protection locked="0"/>
    </xf>
    <xf numFmtId="0" fontId="17" fillId="8" borderId="28" xfId="0" applyFont="1" applyFill="1" applyBorder="1" applyAlignment="1" applyProtection="1">
      <alignment/>
      <protection locked="0"/>
    </xf>
    <xf numFmtId="0" fontId="17" fillId="8" borderId="6" xfId="0" applyFont="1" applyFill="1" applyBorder="1" applyAlignment="1" applyProtection="1">
      <alignment/>
      <protection locked="0"/>
    </xf>
    <xf numFmtId="0" fontId="17" fillId="8" borderId="1" xfId="0" applyFont="1" applyFill="1" applyBorder="1" applyAlignment="1" applyProtection="1">
      <alignment/>
      <protection locked="0"/>
    </xf>
    <xf numFmtId="0" fontId="17" fillId="8" borderId="29" xfId="0" applyFont="1" applyFill="1" applyBorder="1" applyAlignment="1" applyProtection="1">
      <alignment/>
      <protection locked="0"/>
    </xf>
    <xf numFmtId="0" fontId="17" fillId="9" borderId="27" xfId="0" applyFont="1" applyFill="1" applyBorder="1" applyAlignment="1" applyProtection="1">
      <alignment/>
      <protection locked="0"/>
    </xf>
    <xf numFmtId="0" fontId="17" fillId="9" borderId="6" xfId="0" applyFont="1" applyFill="1" applyBorder="1" applyAlignment="1" applyProtection="1">
      <alignment/>
      <protection locked="0"/>
    </xf>
    <xf numFmtId="0" fontId="0" fillId="0" borderId="21" xfId="0" applyBorder="1" applyAlignment="1">
      <alignment horizontal="right"/>
    </xf>
    <xf numFmtId="0" fontId="0" fillId="0" borderId="16" xfId="0" applyBorder="1" applyAlignment="1">
      <alignment horizontal="center"/>
    </xf>
    <xf numFmtId="164" fontId="0" fillId="6" borderId="4" xfId="0" applyNumberFormat="1" applyFill="1" applyBorder="1" applyAlignment="1" applyProtection="1">
      <alignment horizontal="left"/>
      <protection locked="0"/>
    </xf>
    <xf numFmtId="0" fontId="24" fillId="0" borderId="0" xfId="0" applyFont="1" applyAlignment="1">
      <alignment/>
    </xf>
    <xf numFmtId="0" fontId="0" fillId="0" borderId="0" xfId="0" applyFill="1" applyBorder="1" applyAlignment="1">
      <alignment/>
    </xf>
    <xf numFmtId="0" fontId="0" fillId="0" borderId="0" xfId="0" applyFill="1" applyBorder="1" applyAlignment="1" applyProtection="1">
      <alignment horizontal="center"/>
      <protection locked="0"/>
    </xf>
    <xf numFmtId="0" fontId="0" fillId="0" borderId="0" xfId="0" applyFill="1" applyBorder="1" applyAlignment="1">
      <alignment horizontal="right"/>
    </xf>
    <xf numFmtId="0" fontId="14" fillId="0" borderId="0" xfId="0" applyFont="1" applyAlignment="1">
      <alignment vertical="top" wrapText="1"/>
    </xf>
    <xf numFmtId="185" fontId="0" fillId="0" borderId="14" xfId="0" applyNumberFormat="1" applyBorder="1" applyAlignment="1">
      <alignment horizontal="center"/>
    </xf>
    <xf numFmtId="164" fontId="0" fillId="0" borderId="0" xfId="0" applyNumberFormat="1" applyBorder="1" applyAlignment="1">
      <alignment/>
    </xf>
    <xf numFmtId="0" fontId="25" fillId="0" borderId="0" xfId="0" applyNumberFormat="1" applyFont="1" applyBorder="1" applyAlignment="1">
      <alignment vertical="top" wrapText="1"/>
    </xf>
    <xf numFmtId="0" fontId="15" fillId="0" borderId="0" xfId="0" applyFont="1" applyAlignment="1">
      <alignment vertical="top" wrapText="1"/>
    </xf>
    <xf numFmtId="49" fontId="24" fillId="0" borderId="2" xfId="0" applyNumberFormat="1" applyFont="1" applyBorder="1" applyAlignment="1">
      <alignment horizontal="center"/>
    </xf>
    <xf numFmtId="49" fontId="24" fillId="0" borderId="2" xfId="0" applyNumberFormat="1" applyFont="1" applyBorder="1" applyAlignment="1">
      <alignment/>
    </xf>
    <xf numFmtId="0" fontId="0" fillId="0" borderId="2" xfId="0" applyBorder="1" applyAlignment="1" applyProtection="1">
      <alignment/>
      <protection hidden="1"/>
    </xf>
    <xf numFmtId="14" fontId="0" fillId="0" borderId="1" xfId="0" applyNumberFormat="1" applyBorder="1" applyAlignment="1">
      <alignment/>
    </xf>
    <xf numFmtId="0" fontId="15" fillId="0" borderId="0" xfId="0" applyFont="1" applyBorder="1" applyAlignment="1">
      <alignment vertical="top" wrapText="1"/>
    </xf>
    <xf numFmtId="0" fontId="4" fillId="0" borderId="4" xfId="0" applyFont="1" applyBorder="1" applyAlignment="1">
      <alignment/>
    </xf>
    <xf numFmtId="0" fontId="28" fillId="0" borderId="0" xfId="0" applyFont="1" applyAlignment="1">
      <alignment horizontal="center"/>
    </xf>
    <xf numFmtId="0" fontId="17" fillId="0" borderId="0" xfId="0" applyFont="1" applyAlignment="1">
      <alignment horizontal="center"/>
    </xf>
    <xf numFmtId="0" fontId="29" fillId="0" borderId="0" xfId="0" applyFont="1" applyAlignment="1">
      <alignment/>
    </xf>
    <xf numFmtId="0" fontId="0" fillId="0" borderId="0" xfId="0" applyAlignment="1">
      <alignment wrapText="1"/>
    </xf>
    <xf numFmtId="0" fontId="30" fillId="0" borderId="0" xfId="0" applyFont="1" applyAlignment="1">
      <alignment/>
    </xf>
    <xf numFmtId="0" fontId="31" fillId="0" borderId="0" xfId="0" applyFont="1" applyAlignment="1">
      <alignment/>
    </xf>
    <xf numFmtId="0" fontId="36" fillId="12" borderId="45" xfId="0" applyFont="1" applyFill="1" applyBorder="1" applyAlignment="1">
      <alignment vertical="top" wrapText="1"/>
    </xf>
    <xf numFmtId="0" fontId="36" fillId="12" borderId="46" xfId="0" applyFont="1" applyFill="1" applyBorder="1" applyAlignment="1">
      <alignment vertical="top" wrapText="1"/>
    </xf>
    <xf numFmtId="0" fontId="36" fillId="12" borderId="47" xfId="0" applyFont="1" applyFill="1" applyBorder="1" applyAlignment="1">
      <alignment vertical="top" wrapText="1"/>
    </xf>
    <xf numFmtId="0" fontId="36" fillId="12" borderId="48" xfId="0" applyFont="1" applyFill="1" applyBorder="1" applyAlignment="1">
      <alignment vertical="top" wrapText="1"/>
    </xf>
    <xf numFmtId="0" fontId="36" fillId="0" borderId="49" xfId="0" applyFont="1" applyBorder="1" applyAlignment="1">
      <alignment vertical="top" wrapText="1"/>
    </xf>
    <xf numFmtId="0" fontId="36" fillId="12" borderId="49" xfId="0" applyFont="1" applyFill="1" applyBorder="1" applyAlignment="1">
      <alignment vertical="top" wrapText="1"/>
    </xf>
    <xf numFmtId="0" fontId="36" fillId="0" borderId="50" xfId="0" applyFont="1" applyBorder="1" applyAlignment="1">
      <alignment vertical="top" wrapText="1"/>
    </xf>
    <xf numFmtId="0" fontId="36" fillId="0" borderId="38" xfId="0" applyFont="1" applyBorder="1" applyAlignment="1">
      <alignment vertical="top" wrapText="1"/>
    </xf>
    <xf numFmtId="2" fontId="0" fillId="0" borderId="25" xfId="0" applyNumberFormat="1" applyBorder="1" applyAlignment="1" applyProtection="1">
      <alignment horizontal="center"/>
      <protection locked="0"/>
    </xf>
    <xf numFmtId="2" fontId="0" fillId="0" borderId="12" xfId="0" applyNumberFormat="1" applyBorder="1" applyAlignment="1" applyProtection="1">
      <alignment horizontal="center"/>
      <protection locked="0"/>
    </xf>
    <xf numFmtId="0" fontId="0" fillId="2" borderId="6" xfId="0" applyFill="1" applyBorder="1" applyAlignment="1" applyProtection="1">
      <alignment horizontal="center"/>
      <protection locked="0"/>
    </xf>
    <xf numFmtId="0" fontId="4" fillId="0" borderId="2" xfId="0" applyFont="1" applyBorder="1" applyAlignment="1">
      <alignment horizontal="center"/>
    </xf>
    <xf numFmtId="0" fontId="0" fillId="2" borderId="1" xfId="0" applyFill="1" applyBorder="1" applyAlignment="1" applyProtection="1">
      <alignment horizontal="center"/>
      <protection locked="0"/>
    </xf>
    <xf numFmtId="0" fontId="4" fillId="0" borderId="23" xfId="0" applyFont="1" applyBorder="1" applyAlignment="1">
      <alignment horizontal="center"/>
    </xf>
    <xf numFmtId="0" fontId="4" fillId="0" borderId="26" xfId="0" applyFont="1" applyBorder="1" applyAlignment="1">
      <alignment horizontal="center"/>
    </xf>
    <xf numFmtId="0" fontId="5" fillId="0" borderId="51" xfId="0" applyFont="1" applyBorder="1" applyAlignment="1">
      <alignment horizontal="center"/>
    </xf>
    <xf numFmtId="0" fontId="5" fillId="0" borderId="52" xfId="0" applyFont="1" applyBorder="1" applyAlignment="1">
      <alignment horizontal="center"/>
    </xf>
    <xf numFmtId="0" fontId="0" fillId="0" borderId="5" xfId="0" applyBorder="1" applyAlignment="1" applyProtection="1">
      <alignment horizontal="center"/>
      <protection locked="0"/>
    </xf>
    <xf numFmtId="0" fontId="0" fillId="0" borderId="14" xfId="0" applyBorder="1" applyAlignment="1" applyProtection="1">
      <alignment horizontal="center"/>
      <protection locked="0"/>
    </xf>
    <xf numFmtId="0" fontId="16" fillId="0" borderId="0" xfId="0" applyFont="1" applyAlignment="1">
      <alignment horizontal="center"/>
    </xf>
    <xf numFmtId="0" fontId="36" fillId="12" borderId="53" xfId="0" applyFont="1" applyFill="1" applyBorder="1" applyAlignment="1">
      <alignment vertical="top" wrapText="1"/>
    </xf>
    <xf numFmtId="0" fontId="36" fillId="12" borderId="54" xfId="0" applyFont="1" applyFill="1" applyBorder="1" applyAlignment="1">
      <alignment vertical="top" wrapText="1"/>
    </xf>
    <xf numFmtId="0" fontId="36" fillId="0" borderId="36" xfId="0" applyFont="1" applyBorder="1" applyAlignment="1">
      <alignment vertical="top" wrapText="1"/>
    </xf>
    <xf numFmtId="0" fontId="36" fillId="0" borderId="55" xfId="0" applyFont="1" applyBorder="1" applyAlignment="1">
      <alignment vertical="top" wrapText="1"/>
    </xf>
    <xf numFmtId="0" fontId="36" fillId="0" borderId="56" xfId="0" applyFont="1" applyBorder="1" applyAlignment="1">
      <alignment vertical="top" wrapText="1"/>
    </xf>
    <xf numFmtId="0" fontId="3" fillId="0" borderId="0" xfId="0" applyFont="1" applyAlignment="1">
      <alignment wrapText="1"/>
    </xf>
    <xf numFmtId="0" fontId="8" fillId="0" borderId="0" xfId="0" applyFont="1" applyAlignment="1">
      <alignment wrapText="1"/>
    </xf>
    <xf numFmtId="0" fontId="32" fillId="0" borderId="57" xfId="0" applyFont="1" applyBorder="1" applyAlignment="1">
      <alignment horizontal="left" vertical="top" wrapText="1" indent="1"/>
    </xf>
    <xf numFmtId="0" fontId="32" fillId="0" borderId="58" xfId="0" applyFont="1" applyBorder="1" applyAlignment="1">
      <alignment horizontal="left" vertical="top" wrapText="1" indent="1"/>
    </xf>
    <xf numFmtId="0" fontId="32" fillId="0" borderId="59" xfId="0" applyFont="1" applyBorder="1" applyAlignment="1">
      <alignment horizontal="left" vertical="top" wrapText="1" indent="1"/>
    </xf>
    <xf numFmtId="0" fontId="32" fillId="0" borderId="60" xfId="0" applyFont="1" applyBorder="1" applyAlignment="1">
      <alignment horizontal="left" vertical="top" wrapText="1" indent="1"/>
    </xf>
    <xf numFmtId="0" fontId="32" fillId="0" borderId="0" xfId="0" applyFont="1" applyBorder="1" applyAlignment="1">
      <alignment horizontal="left" vertical="top" wrapText="1" indent="1"/>
    </xf>
    <xf numFmtId="0" fontId="32" fillId="0" borderId="61" xfId="0" applyFont="1" applyBorder="1" applyAlignment="1">
      <alignment horizontal="left" vertical="top" wrapText="1" indent="1"/>
    </xf>
    <xf numFmtId="0" fontId="34" fillId="0" borderId="62" xfId="0" applyFont="1" applyBorder="1" applyAlignment="1">
      <alignment horizontal="left" vertical="top" wrapText="1" indent="1"/>
    </xf>
    <xf numFmtId="0" fontId="34" fillId="0" borderId="35" xfId="0" applyFont="1" applyBorder="1" applyAlignment="1">
      <alignment horizontal="left" vertical="top" wrapText="1" indent="1"/>
    </xf>
    <xf numFmtId="0" fontId="34" fillId="0" borderId="63" xfId="0" applyFont="1" applyBorder="1" applyAlignment="1">
      <alignment horizontal="left" vertical="top" wrapText="1" indent="1"/>
    </xf>
    <xf numFmtId="0" fontId="30" fillId="0" borderId="64" xfId="0" applyFont="1" applyBorder="1" applyAlignment="1">
      <alignment vertical="top" wrapText="1"/>
    </xf>
    <xf numFmtId="0" fontId="30" fillId="0" borderId="65" xfId="0" applyFont="1" applyBorder="1" applyAlignment="1">
      <alignment vertical="top" wrapText="1"/>
    </xf>
    <xf numFmtId="0" fontId="30" fillId="0" borderId="66" xfId="0" applyFont="1" applyBorder="1" applyAlignment="1">
      <alignment vertical="top" wrapText="1"/>
    </xf>
    <xf numFmtId="0" fontId="36" fillId="0" borderId="67" xfId="0" applyFont="1" applyBorder="1" applyAlignment="1">
      <alignment vertical="top" wrapText="1"/>
    </xf>
    <xf numFmtId="0" fontId="36" fillId="0" borderId="68" xfId="0" applyFont="1" applyBorder="1" applyAlignment="1">
      <alignment vertical="top" wrapText="1"/>
    </xf>
    <xf numFmtId="0" fontId="36" fillId="0" borderId="69" xfId="0" applyFont="1" applyBorder="1" applyAlignment="1">
      <alignment vertical="top" wrapText="1"/>
    </xf>
    <xf numFmtId="0" fontId="0" fillId="2" borderId="2" xfId="0" applyFill="1" applyBorder="1" applyAlignment="1">
      <alignment horizontal="center"/>
    </xf>
    <xf numFmtId="0" fontId="0" fillId="0" borderId="25" xfId="0" applyBorder="1" applyAlignment="1">
      <alignment horizontal="center"/>
    </xf>
    <xf numFmtId="0" fontId="0" fillId="0" borderId="12" xfId="0" applyBorder="1" applyAlignment="1">
      <alignment horizontal="center"/>
    </xf>
    <xf numFmtId="12" fontId="0" fillId="0" borderId="25" xfId="0" applyNumberFormat="1" applyBorder="1" applyAlignment="1">
      <alignment horizontal="center"/>
    </xf>
    <xf numFmtId="12" fontId="0" fillId="0" borderId="12" xfId="0" applyNumberFormat="1" applyBorder="1" applyAlignment="1">
      <alignment horizontal="center"/>
    </xf>
    <xf numFmtId="49" fontId="0" fillId="0" borderId="7" xfId="0" applyNumberFormat="1" applyBorder="1" applyAlignment="1">
      <alignment wrapText="1"/>
    </xf>
    <xf numFmtId="49" fontId="0" fillId="0" borderId="15" xfId="0" applyNumberFormat="1" applyBorder="1" applyAlignment="1">
      <alignment wrapText="1"/>
    </xf>
  </cellXfs>
  <cellStyles count="7">
    <cellStyle name="Normal" xfId="0"/>
    <cellStyle name="Comma" xfId="15"/>
    <cellStyle name="Comma [0]" xfId="16"/>
    <cellStyle name="Currency" xfId="17"/>
    <cellStyle name="Currency [0]" xfId="18"/>
    <cellStyle name="Hyperlink" xfId="19"/>
    <cellStyle name="Percent" xfId="20"/>
  </cellStyles>
  <dxfs count="4">
    <dxf>
      <font>
        <strike/>
        <color rgb="FFFF0000"/>
      </font>
      <border/>
    </dxf>
    <dxf>
      <font>
        <strike/>
        <color rgb="FFFF0000"/>
      </font>
      <fill>
        <patternFill>
          <bgColor rgb="FFFFFF00"/>
        </patternFill>
      </fill>
      <border/>
    </dxf>
    <dxf>
      <font>
        <color rgb="FF0000FF"/>
      </font>
      <border/>
    </dxf>
    <dxf>
      <font>
        <b val="0"/>
        <i val="0"/>
        <u val="none"/>
        <color rgb="FFFF0000"/>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Pipeline Profile</a:t>
            </a:r>
          </a:p>
        </c:rich>
      </c:tx>
      <c:layout/>
      <c:spPr>
        <a:noFill/>
        <a:ln>
          <a:noFill/>
        </a:ln>
      </c:spPr>
    </c:title>
    <c:plotArea>
      <c:layout>
        <c:manualLayout>
          <c:xMode val="edge"/>
          <c:yMode val="edge"/>
          <c:x val="0.03875"/>
          <c:y val="0.10425"/>
          <c:w val="0.856"/>
          <c:h val="0.74025"/>
        </c:manualLayout>
      </c:layout>
      <c:scatterChart>
        <c:scatterStyle val="lineMarker"/>
        <c:varyColors val="0"/>
        <c:ser>
          <c:idx val="0"/>
          <c:order val="0"/>
          <c:tx>
            <c:v>Ground</c:v>
          </c:tx>
          <c:extLst>
            <c:ext xmlns:c14="http://schemas.microsoft.com/office/drawing/2007/8/2/chart" uri="{6F2FDCE9-48DA-4B69-8628-5D25D57E5C99}">
              <c14:invertSolidFillFmt>
                <c14:spPr>
                  <a:solidFill>
                    <a:srgbClr val="000000"/>
                  </a:solidFill>
                </c14:spPr>
              </c14:invertSolidFillFmt>
            </c:ext>
          </c:extLst>
          <c:xVal>
            <c:numRef>
              <c:f>Design!$A$30:$A$70</c:f>
              <c:numCache>
                <c:ptCount val="41"/>
              </c:numCache>
            </c:numRef>
          </c:xVal>
          <c:yVal>
            <c:numRef>
              <c:f>Design!$B$30:$B$70</c:f>
              <c:numCache>
                <c:ptCount val="41"/>
              </c:numCache>
            </c:numRef>
          </c:yVal>
          <c:smooth val="0"/>
        </c:ser>
        <c:ser>
          <c:idx val="1"/>
          <c:order val="1"/>
          <c:tx>
            <c:v>Pipe</c:v>
          </c:tx>
          <c:spPr>
            <a:ln w="127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0000"/>
                </a:solidFill>
              </a:ln>
            </c:spPr>
          </c:marker>
          <c:xVal>
            <c:numRef>
              <c:f>Design!$A$30:$A$70</c:f>
              <c:numCache>
                <c:ptCount val="41"/>
              </c:numCache>
            </c:numRef>
          </c:xVal>
          <c:yVal>
            <c:numRef>
              <c:f>Design!$AL$30:$AL$70</c:f>
            </c:numRef>
          </c:yVal>
          <c:smooth val="0"/>
        </c:ser>
        <c:axId val="31819524"/>
        <c:axId val="17940261"/>
      </c:scatterChart>
      <c:valAx>
        <c:axId val="31819524"/>
        <c:scaling>
          <c:orientation val="minMax"/>
          <c:max val="2200"/>
          <c:min val="0"/>
        </c:scaling>
        <c:axPos val="b"/>
        <c:title>
          <c:tx>
            <c:rich>
              <a:bodyPr vert="horz" rot="0" anchor="ctr"/>
              <a:lstStyle/>
              <a:p>
                <a:pPr algn="ctr">
                  <a:defRPr/>
                </a:pPr>
                <a:r>
                  <a:rPr lang="en-US" cap="none" sz="1000" b="1" i="0" u="none" baseline="0">
                    <a:latin typeface="Arial"/>
                    <a:ea typeface="Arial"/>
                    <a:cs typeface="Arial"/>
                  </a:rPr>
                  <a:t>Station</a:t>
                </a:r>
              </a:p>
            </c:rich>
          </c:tx>
          <c:layout/>
          <c:overlay val="0"/>
          <c:spPr>
            <a:noFill/>
            <a:ln>
              <a:noFill/>
            </a:ln>
          </c:spPr>
        </c:title>
        <c:majorGridlines>
          <c:spPr>
            <a:ln w="12700">
              <a:solidFill/>
            </a:ln>
          </c:spPr>
        </c:majorGridlines>
        <c:minorGridlines/>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17940261"/>
        <c:crosses val="autoZero"/>
        <c:crossBetween val="midCat"/>
        <c:dispUnits/>
        <c:majorUnit val="200"/>
        <c:minorUnit val="100"/>
      </c:valAx>
      <c:valAx>
        <c:axId val="17940261"/>
        <c:scaling>
          <c:orientation val="minMax"/>
          <c:max val="168"/>
          <c:min val="0"/>
        </c:scaling>
        <c:axPos val="l"/>
        <c:title>
          <c:tx>
            <c:rich>
              <a:bodyPr vert="horz" rot="-5400000" anchor="ctr"/>
              <a:lstStyle/>
              <a:p>
                <a:pPr algn="ctr">
                  <a:defRPr/>
                </a:pPr>
                <a:r>
                  <a:rPr lang="en-US" cap="none" sz="1000" b="1" i="0" u="none" baseline="0">
                    <a:latin typeface="Arial"/>
                    <a:ea typeface="Arial"/>
                    <a:cs typeface="Arial"/>
                  </a:rPr>
                  <a:t>Elevation (ft.)</a:t>
                </a:r>
              </a:p>
            </c:rich>
          </c:tx>
          <c:layout/>
          <c:overlay val="0"/>
          <c:spPr>
            <a:noFill/>
            <a:ln>
              <a:noFill/>
            </a:ln>
          </c:spPr>
        </c:title>
        <c:majorGridlines>
          <c:spPr>
            <a:ln w="12700">
              <a:solidFill/>
            </a:ln>
          </c:spPr>
        </c:majorGridlines>
        <c:minorGridlines>
          <c:spPr>
            <a:ln w="3175">
              <a:solidFill>
                <a:srgbClr val="FFFFFF"/>
              </a:solidFill>
            </a:ln>
          </c:spPr>
        </c:minorGridlines>
        <c:delete val="0"/>
        <c:numFmt formatCode="0" sourceLinked="0"/>
        <c:majorTickMark val="out"/>
        <c:minorTickMark val="none"/>
        <c:tickLblPos val="nextTo"/>
        <c:crossAx val="31819524"/>
        <c:crosses val="autoZero"/>
        <c:crossBetween val="midCat"/>
        <c:dispUnits/>
        <c:majorUnit val="5"/>
        <c:minorUnit val="0.5"/>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Curve Fit Results</a:t>
            </a:r>
          </a:p>
        </c:rich>
      </c:tx>
      <c:layout/>
      <c:spPr>
        <a:noFill/>
        <a:ln>
          <a:noFill/>
        </a:ln>
      </c:spPr>
    </c:title>
    <c:plotArea>
      <c:layout/>
      <c:scatterChart>
        <c:scatterStyle val="lineMarker"/>
        <c:varyColors val="0"/>
        <c:ser>
          <c:idx val="0"/>
          <c:order val="0"/>
          <c:tx>
            <c:v>actual</c:v>
          </c:tx>
          <c:extLst>
            <c:ext xmlns:c14="http://schemas.microsoft.com/office/drawing/2007/8/2/chart" uri="{6F2FDCE9-48DA-4B69-8628-5D25D57E5C99}">
              <c14:invertSolidFillFmt>
                <c14:spPr>
                  <a:solidFill>
                    <a:srgbClr val="000000"/>
                  </a:solidFill>
                </c14:spPr>
              </c14:invertSolidFillFmt>
            </c:ext>
          </c:extLst>
          <c:xVal>
            <c:numRef>
              <c:f>'Reference '!$X$4:$Z$4</c:f>
            </c:numRef>
          </c:xVal>
          <c:yVal>
            <c:numRef>
              <c:f>'Reference '!$X$11:$Z$11</c:f>
            </c:numRef>
          </c:yVal>
          <c:smooth val="0"/>
        </c:ser>
        <c:ser>
          <c:idx val="1"/>
          <c:order val="1"/>
          <c:tx>
            <c:v>experimental</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noFill/>
              <a:ln>
                <a:solidFill>
                  <a:srgbClr val="FF0000"/>
                </a:solidFill>
              </a:ln>
            </c:spPr>
          </c:marker>
          <c:xVal>
            <c:numRef>
              <c:f>'Reference '!$Q$4:$Z$4</c:f>
            </c:numRef>
          </c:xVal>
          <c:yVal>
            <c:numRef>
              <c:f>'Reference '!$Q$18:$Z$18</c:f>
            </c:numRef>
          </c:yVal>
          <c:smooth val="0"/>
        </c:ser>
        <c:axId val="27244622"/>
        <c:axId val="43875007"/>
      </c:scatterChart>
      <c:valAx>
        <c:axId val="27244622"/>
        <c:scaling>
          <c:orientation val="minMax"/>
        </c:scaling>
        <c:axPos val="b"/>
        <c:majorGridlines/>
        <c:minorGridlines/>
        <c:delete val="0"/>
        <c:numFmt formatCode="General" sourceLinked="1"/>
        <c:majorTickMark val="out"/>
        <c:minorTickMark val="none"/>
        <c:tickLblPos val="nextTo"/>
        <c:crossAx val="43875007"/>
        <c:crosses val="autoZero"/>
        <c:crossBetween val="midCat"/>
        <c:dispUnits/>
      </c:valAx>
      <c:valAx>
        <c:axId val="43875007"/>
        <c:scaling>
          <c:orientation val="minMax"/>
        </c:scaling>
        <c:axPos val="l"/>
        <c:majorGridlines/>
        <c:minorGridlines/>
        <c:delete val="0"/>
        <c:numFmt formatCode="General" sourceLinked="1"/>
        <c:majorTickMark val="out"/>
        <c:minorTickMark val="none"/>
        <c:tickLblPos val="nextTo"/>
        <c:crossAx val="27244622"/>
        <c:crosses val="autoZero"/>
        <c:crossBetween val="midCat"/>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Chart1"/>
  <sheetViews>
    <sheetView workbookViewId="0"/>
  </sheetViews>
  <pageMargins left="0.75" right="0.75" top="1" bottom="1" header="0.5" footer="0.5"/>
  <pageSetup horizontalDpi="600" verticalDpi="600" orientation="landscape"/>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http://www1.kub.org/webreview/includes/tn1call.html" TargetMode="External" /><Relationship Id="rId4" Type="http://schemas.openxmlformats.org/officeDocument/2006/relationships/hyperlink" Target="http://www1.kub.org/webreview/includes/tn1call.html"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http://www1.kub.org/webreview/includes/tn1call.html" TargetMode="External" /><Relationship Id="rId3" Type="http://schemas.openxmlformats.org/officeDocument/2006/relationships/hyperlink" Target="http://www1.kub.org/webreview/includes/tn1call.html"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3.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xdr:row>
      <xdr:rowOff>123825</xdr:rowOff>
    </xdr:from>
    <xdr:to>
      <xdr:col>9</xdr:col>
      <xdr:colOff>228600</xdr:colOff>
      <xdr:row>4</xdr:row>
      <xdr:rowOff>133350</xdr:rowOff>
    </xdr:to>
    <xdr:sp>
      <xdr:nvSpPr>
        <xdr:cNvPr id="1" name="AutoShape 1"/>
        <xdr:cNvSpPr>
          <a:spLocks/>
        </xdr:cNvSpPr>
      </xdr:nvSpPr>
      <xdr:spPr>
        <a:xfrm>
          <a:off x="685800" y="285750"/>
          <a:ext cx="4381500" cy="495300"/>
        </a:xfrm>
        <a:prstGeom prst="rect"/>
        <a:noFill/>
      </xdr:spPr>
      <xdr:txBody>
        <a:bodyPr fromWordArt="1" wrap="none">
          <a:prstTxWarp prst="textPlain"/>
        </a:bodyPr>
        <a:p>
          <a:pPr algn="ctr"/>
          <a:r>
            <a:rPr sz="36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Pipeline Design</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0.39425</cdr:x>
      <cdr:y>0.06725</cdr:y>
    </cdr:from>
    <cdr:to>
      <cdr:x>0.53075</cdr:x>
      <cdr:y>0.11625</cdr:y>
    </cdr:to>
    <cdr:sp textlink="Design!$B$9">
      <cdr:nvSpPr>
        <cdr:cNvPr id="1" name="TextBox 1"/>
        <cdr:cNvSpPr txBox="1">
          <a:spLocks noChangeArrowheads="1"/>
        </cdr:cNvSpPr>
      </cdr:nvSpPr>
      <cdr:spPr>
        <a:xfrm>
          <a:off x="3419475" y="390525"/>
          <a:ext cx="1181100" cy="295275"/>
        </a:xfrm>
        <a:prstGeom prst="rect">
          <a:avLst/>
        </a:prstGeom>
        <a:noFill/>
        <a:ln w="9525" cmpd="sng">
          <a:noFill/>
        </a:ln>
      </cdr:spPr>
      <cdr:txBody>
        <a:bodyPr vertOverflow="clip" wrap="square"/>
        <a:p>
          <a:pPr algn="ctr">
            <a:defRPr/>
          </a:pPr>
          <a:fld id="{8f1a1bae-0a5f-4ead-bfde-eb5b1b94acd4}" type="TxLink">
            <a:rPr lang="en-US" cap="none" u="none" baseline="0">
              <a:latin typeface="Arial"/>
              <a:ea typeface="Arial"/>
              <a:cs typeface="Arial"/>
            </a:rPr>
            <a:t/>
          </a:fld>
        </a:p>
      </cdr:txBody>
    </cdr:sp>
  </cdr:relSizeAnchor>
  <cdr:relSizeAnchor xmlns:cdr="http://schemas.openxmlformats.org/drawingml/2006/chartDrawing">
    <cdr:from>
      <cdr:x>0.044</cdr:x>
      <cdr:y>0.84575</cdr:y>
    </cdr:from>
    <cdr:to>
      <cdr:x>0.3825</cdr:x>
      <cdr:y>0.95175</cdr:y>
    </cdr:to>
    <cdr:sp>
      <cdr:nvSpPr>
        <cdr:cNvPr id="2" name="TextBox 4"/>
        <cdr:cNvSpPr txBox="1">
          <a:spLocks noChangeArrowheads="1"/>
        </cdr:cNvSpPr>
      </cdr:nvSpPr>
      <cdr:spPr>
        <a:xfrm>
          <a:off x="381000" y="5010150"/>
          <a:ext cx="2933700" cy="628650"/>
        </a:xfrm>
        <a:prstGeom prst="rect">
          <a:avLst/>
        </a:prstGeom>
        <a:noFill/>
        <a:ln w="9525" cmpd="sng">
          <a:solidFill>
            <a:srgbClr val="000000"/>
          </a:solidFill>
          <a:headEnd type="none"/>
          <a:tailEnd type="none"/>
        </a:ln>
      </cdr:spPr>
      <cdr:txBody>
        <a:bodyPr vertOverflow="clip" wrap="square"/>
        <a:p>
          <a:pPr algn="l">
            <a:defRPr/>
          </a:pPr>
          <a:r>
            <a:rPr lang="en-US" cap="none" sz="1000" b="0" i="0" u="none" baseline="0">
              <a:latin typeface="Arial"/>
              <a:ea typeface="Arial"/>
              <a:cs typeface="Arial"/>
            </a:rPr>
            <a:t>Landuser:_____________________________
</a:t>
          </a:r>
          <a:r>
            <a:rPr lang="en-US" cap="none" sz="1000" b="1" i="0" u="none" baseline="0">
              <a:latin typeface="Arial"/>
              <a:ea typeface="Arial"/>
              <a:cs typeface="Arial"/>
            </a:rPr>
            <a:t>________________________ </a:t>
          </a:r>
          <a:r>
            <a:rPr lang="en-US" cap="none" sz="1000" b="0" i="0" u="none" baseline="0">
              <a:latin typeface="Arial"/>
              <a:ea typeface="Arial"/>
              <a:cs typeface="Arial"/>
            </a:rPr>
            <a:t>County, Tennessee</a:t>
          </a:r>
          <a:r>
            <a:rPr lang="en-US" cap="none" sz="1000" b="1" i="0" u="none" baseline="0">
              <a:latin typeface="Arial"/>
              <a:ea typeface="Arial"/>
              <a:cs typeface="Arial"/>
            </a:rPr>
            <a:t>
</a:t>
          </a:r>
          <a:r>
            <a:rPr lang="en-US" cap="none" sz="1000" b="0" i="0" u="none" baseline="0">
              <a:latin typeface="Arial"/>
              <a:ea typeface="Arial"/>
              <a:cs typeface="Arial"/>
            </a:rPr>
            <a:t>Location:____________________________</a:t>
          </a:r>
        </a:p>
      </cdr:txBody>
    </cdr:sp>
  </cdr:relSizeAnchor>
  <cdr:relSizeAnchor xmlns:cdr="http://schemas.openxmlformats.org/drawingml/2006/chartDrawing">
    <cdr:from>
      <cdr:x>0.11025</cdr:x>
      <cdr:y>0.8465</cdr:y>
    </cdr:from>
    <cdr:to>
      <cdr:x>0.32325</cdr:x>
      <cdr:y>0.8775</cdr:y>
    </cdr:to>
    <cdr:sp textlink="Design!$B$10">
      <cdr:nvSpPr>
        <cdr:cNvPr id="3" name="TextBox 5"/>
        <cdr:cNvSpPr txBox="1">
          <a:spLocks noChangeArrowheads="1"/>
        </cdr:cNvSpPr>
      </cdr:nvSpPr>
      <cdr:spPr>
        <a:xfrm>
          <a:off x="952500" y="5019675"/>
          <a:ext cx="1847850" cy="180975"/>
        </a:xfrm>
        <a:prstGeom prst="rect">
          <a:avLst/>
        </a:prstGeom>
        <a:noFill/>
        <a:ln w="9525" cmpd="sng">
          <a:noFill/>
        </a:ln>
      </cdr:spPr>
      <cdr:txBody>
        <a:bodyPr vertOverflow="clip" wrap="square"/>
        <a:p>
          <a:pPr algn="l">
            <a:defRPr/>
          </a:pPr>
          <a:fld id="{472a3958-f50b-4d61-aee6-1c433481f9bb}" type="TxLink">
            <a:rPr lang="en-US" cap="none" u="none" baseline="0">
              <a:latin typeface="Arial"/>
              <a:ea typeface="Arial"/>
              <a:cs typeface="Arial"/>
            </a:rPr>
            <a:t/>
          </a:fld>
        </a:p>
      </cdr:txBody>
    </cdr:sp>
  </cdr:relSizeAnchor>
  <cdr:relSizeAnchor xmlns:cdr="http://schemas.openxmlformats.org/drawingml/2006/chartDrawing">
    <cdr:from>
      <cdr:x>0.11025</cdr:x>
      <cdr:y>0.872</cdr:y>
    </cdr:from>
    <cdr:to>
      <cdr:x>0.23575</cdr:x>
      <cdr:y>0.903</cdr:y>
    </cdr:to>
    <cdr:sp textlink="Design!$B$11">
      <cdr:nvSpPr>
        <cdr:cNvPr id="4" name="TextBox 6"/>
        <cdr:cNvSpPr txBox="1">
          <a:spLocks noChangeArrowheads="1"/>
        </cdr:cNvSpPr>
      </cdr:nvSpPr>
      <cdr:spPr>
        <a:xfrm>
          <a:off x="952500" y="5172075"/>
          <a:ext cx="1085850" cy="180975"/>
        </a:xfrm>
        <a:prstGeom prst="rect">
          <a:avLst/>
        </a:prstGeom>
        <a:noFill/>
        <a:ln w="9525" cmpd="sng">
          <a:noFill/>
        </a:ln>
      </cdr:spPr>
      <cdr:txBody>
        <a:bodyPr vertOverflow="clip" wrap="square"/>
        <a:p>
          <a:pPr algn="l">
            <a:defRPr/>
          </a:pPr>
          <a:fld id="{41391974-c630-4f78-af8b-39f262e498ac}" type="TxLink">
            <a:rPr lang="en-US" cap="none" u="none" baseline="0">
              <a:latin typeface="Arial"/>
              <a:ea typeface="Arial"/>
              <a:cs typeface="Arial"/>
            </a:rPr>
            <a:t/>
          </a:fld>
        </a:p>
      </cdr:txBody>
    </cdr:sp>
  </cdr:relSizeAnchor>
  <cdr:relSizeAnchor xmlns:cdr="http://schemas.openxmlformats.org/drawingml/2006/chartDrawing">
    <cdr:from>
      <cdr:x>0.11025</cdr:x>
      <cdr:y>0.9085</cdr:y>
    </cdr:from>
    <cdr:to>
      <cdr:x>0.3045</cdr:x>
      <cdr:y>0.94125</cdr:y>
    </cdr:to>
    <cdr:sp textlink="Design!$B$12">
      <cdr:nvSpPr>
        <cdr:cNvPr id="5" name="TextBox 7"/>
        <cdr:cNvSpPr txBox="1">
          <a:spLocks noChangeArrowheads="1"/>
        </cdr:cNvSpPr>
      </cdr:nvSpPr>
      <cdr:spPr>
        <a:xfrm>
          <a:off x="952500" y="5381625"/>
          <a:ext cx="1685925" cy="190500"/>
        </a:xfrm>
        <a:prstGeom prst="rect">
          <a:avLst/>
        </a:prstGeom>
        <a:noFill/>
        <a:ln w="9525" cmpd="sng">
          <a:noFill/>
        </a:ln>
      </cdr:spPr>
      <cdr:txBody>
        <a:bodyPr vertOverflow="clip" wrap="square"/>
        <a:p>
          <a:pPr algn="l">
            <a:defRPr/>
          </a:pPr>
          <a:fld id="{9e55d1f3-3211-475f-aa20-a7adb33ce453}" type="TxLink">
            <a:rPr lang="en-US" cap="none" u="none" baseline="0">
              <a:latin typeface="Arial"/>
              <a:ea typeface="Arial"/>
              <a:cs typeface="Arial"/>
            </a:rPr>
            <a:t/>
          </a:fld>
        </a:p>
      </cdr:txBody>
    </cdr:sp>
  </cdr:relSizeAnchor>
  <cdr:relSizeAnchor xmlns:cdr="http://schemas.openxmlformats.org/drawingml/2006/chartDrawing">
    <cdr:from>
      <cdr:x>0.08275</cdr:x>
      <cdr:y>0.94325</cdr:y>
    </cdr:from>
    <cdr:to>
      <cdr:x>0.12275</cdr:x>
      <cdr:y>0.9725</cdr:y>
    </cdr:to>
    <cdr:sp textlink="Design!$F$12">
      <cdr:nvSpPr>
        <cdr:cNvPr id="6" name="TextBox 8"/>
        <cdr:cNvSpPr txBox="1">
          <a:spLocks noChangeArrowheads="1"/>
        </cdr:cNvSpPr>
      </cdr:nvSpPr>
      <cdr:spPr>
        <a:xfrm>
          <a:off x="714375" y="5591175"/>
          <a:ext cx="342900" cy="171450"/>
        </a:xfrm>
        <a:prstGeom prst="rect">
          <a:avLst/>
        </a:prstGeom>
        <a:noFill/>
        <a:ln w="9525" cmpd="sng">
          <a:noFill/>
        </a:ln>
      </cdr:spPr>
      <cdr:txBody>
        <a:bodyPr vertOverflow="clip" wrap="square"/>
        <a:p>
          <a:pPr algn="l">
            <a:defRPr/>
          </a:pPr>
          <a:fld id="{c210443f-79fa-440c-8ff4-9b2dc1a0badd}" type="TxLink">
            <a:rPr lang="en-US" cap="none" u="none" baseline="0">
              <a:latin typeface="Arial"/>
              <a:ea typeface="Arial"/>
              <a:cs typeface="Arial"/>
            </a:rPr>
            <a:t/>
          </a:fld>
        </a:p>
      </cdr:txBody>
    </cdr:sp>
  </cdr:relSizeAnchor>
  <cdr:relSizeAnchor xmlns:cdr="http://schemas.openxmlformats.org/drawingml/2006/chartDrawing">
    <cdr:from>
      <cdr:x>0.17475</cdr:x>
      <cdr:y>0.94325</cdr:y>
    </cdr:from>
    <cdr:to>
      <cdr:x>0.218</cdr:x>
      <cdr:y>0.9725</cdr:y>
    </cdr:to>
    <cdr:sp textlink="Design!$H$12">
      <cdr:nvSpPr>
        <cdr:cNvPr id="7" name="TextBox 9"/>
        <cdr:cNvSpPr txBox="1">
          <a:spLocks noChangeArrowheads="1"/>
        </cdr:cNvSpPr>
      </cdr:nvSpPr>
      <cdr:spPr>
        <a:xfrm>
          <a:off x="1514475" y="5591175"/>
          <a:ext cx="371475" cy="171450"/>
        </a:xfrm>
        <a:prstGeom prst="rect">
          <a:avLst/>
        </a:prstGeom>
        <a:noFill/>
        <a:ln w="9525" cmpd="sng">
          <a:noFill/>
        </a:ln>
      </cdr:spPr>
      <cdr:txBody>
        <a:bodyPr vertOverflow="clip" wrap="square"/>
        <a:p>
          <a:pPr algn="l">
            <a:defRPr/>
          </a:pPr>
          <a:fld id="{798c140d-0cec-4595-be41-9b56e6269266}" type="TxLink">
            <a:rPr lang="en-US" cap="none" u="none" baseline="0">
              <a:latin typeface="Arial"/>
              <a:ea typeface="Arial"/>
              <a:cs typeface="Arial"/>
            </a:rPr>
            <a:t/>
          </a:fld>
        </a:p>
      </cdr:txBody>
    </cdr:sp>
  </cdr:relSizeAnchor>
  <cdr:relSizeAnchor xmlns:cdr="http://schemas.openxmlformats.org/drawingml/2006/chartDrawing">
    <cdr:from>
      <cdr:x>0.27725</cdr:x>
      <cdr:y>0.94325</cdr:y>
    </cdr:from>
    <cdr:to>
      <cdr:x>0.31275</cdr:x>
      <cdr:y>0.9725</cdr:y>
    </cdr:to>
    <cdr:sp textlink="Design!$K$12">
      <cdr:nvSpPr>
        <cdr:cNvPr id="8" name="TextBox 10"/>
        <cdr:cNvSpPr txBox="1">
          <a:spLocks noChangeArrowheads="1"/>
        </cdr:cNvSpPr>
      </cdr:nvSpPr>
      <cdr:spPr>
        <a:xfrm>
          <a:off x="2400300" y="5591175"/>
          <a:ext cx="304800" cy="171450"/>
        </a:xfrm>
        <a:prstGeom prst="rect">
          <a:avLst/>
        </a:prstGeom>
        <a:noFill/>
        <a:ln w="9525" cmpd="sng">
          <a:noFill/>
        </a:ln>
      </cdr:spPr>
      <cdr:txBody>
        <a:bodyPr vertOverflow="clip" wrap="square"/>
        <a:p>
          <a:pPr algn="l">
            <a:defRPr/>
          </a:pPr>
          <a:fld id="{355bf734-695a-4041-8881-98a918d49174}" type="TxLink">
            <a:rPr lang="en-US" cap="none" u="none" baseline="0">
              <a:latin typeface="Arial"/>
              <a:ea typeface="Arial"/>
              <a:cs typeface="Arial"/>
            </a:rPr>
            <a:t/>
          </a:fld>
        </a:p>
      </cdr:txBody>
    </cdr:sp>
  </cdr:relSizeAnchor>
  <cdr:relSizeAnchor xmlns:cdr="http://schemas.openxmlformats.org/drawingml/2006/chartDrawing">
    <cdr:from>
      <cdr:x>0.6985</cdr:x>
      <cdr:y>0.90775</cdr:y>
    </cdr:from>
    <cdr:to>
      <cdr:x>0.82725</cdr:x>
      <cdr:y>0.9405</cdr:y>
    </cdr:to>
    <cdr:sp textlink="Design!$G$10">
      <cdr:nvSpPr>
        <cdr:cNvPr id="9" name="TextBox 11"/>
        <cdr:cNvSpPr txBox="1">
          <a:spLocks noChangeArrowheads="1"/>
        </cdr:cNvSpPr>
      </cdr:nvSpPr>
      <cdr:spPr>
        <a:xfrm>
          <a:off x="6057900" y="5381625"/>
          <a:ext cx="1114425" cy="190500"/>
        </a:xfrm>
        <a:prstGeom prst="rect">
          <a:avLst/>
        </a:prstGeom>
        <a:noFill/>
        <a:ln w="9525" cmpd="sng">
          <a:noFill/>
        </a:ln>
      </cdr:spPr>
      <cdr:txBody>
        <a:bodyPr vertOverflow="clip" wrap="square"/>
        <a:p>
          <a:pPr algn="l">
            <a:defRPr/>
          </a:pPr>
          <a:fld id="{4fe65338-bf4a-460e-8719-45186973a092}" type="TxLink">
            <a:rPr lang="en-US" cap="none" u="none" baseline="0">
              <a:latin typeface="Arial"/>
              <a:ea typeface="Arial"/>
              <a:cs typeface="Arial"/>
            </a:rPr>
            <a:t/>
          </a:fld>
        </a:p>
      </cdr:txBody>
    </cdr:sp>
  </cdr:relSizeAnchor>
  <cdr:relSizeAnchor xmlns:cdr="http://schemas.openxmlformats.org/drawingml/2006/chartDrawing">
    <cdr:from>
      <cdr:x>0.814</cdr:x>
      <cdr:y>0.90775</cdr:y>
    </cdr:from>
    <cdr:to>
      <cdr:x>0.905</cdr:x>
      <cdr:y>0.95025</cdr:y>
    </cdr:to>
    <cdr:sp textlink="Design!$K$10">
      <cdr:nvSpPr>
        <cdr:cNvPr id="10" name="TextBox 12"/>
        <cdr:cNvSpPr txBox="1">
          <a:spLocks noChangeArrowheads="1"/>
        </cdr:cNvSpPr>
      </cdr:nvSpPr>
      <cdr:spPr>
        <a:xfrm>
          <a:off x="7058025" y="5381625"/>
          <a:ext cx="790575" cy="247650"/>
        </a:xfrm>
        <a:prstGeom prst="rect">
          <a:avLst/>
        </a:prstGeom>
        <a:noFill/>
        <a:ln w="9525" cmpd="sng">
          <a:noFill/>
        </a:ln>
      </cdr:spPr>
      <cdr:txBody>
        <a:bodyPr vertOverflow="clip" wrap="square"/>
        <a:p>
          <a:pPr algn="l">
            <a:defRPr/>
          </a:pPr>
          <a:fld id="{c4b41f38-f52b-49a9-8314-b0ab3a755a33}" type="TxLink">
            <a:rPr lang="en-US" cap="none" sz="1000" b="0" i="0" u="none" baseline="0">
              <a:latin typeface="Arial"/>
              <a:ea typeface="Arial"/>
              <a:cs typeface="Arial"/>
            </a:rPr>
            <a:t>8/10/2006</a:t>
          </a:fld>
        </a:p>
      </cdr:txBody>
    </cdr:sp>
  </cdr:relSizeAnchor>
  <cdr:relSizeAnchor xmlns:cdr="http://schemas.openxmlformats.org/drawingml/2006/chartDrawing">
    <cdr:from>
      <cdr:x>0.5775</cdr:x>
      <cdr:y>0.8465</cdr:y>
    </cdr:from>
    <cdr:to>
      <cdr:x>0.89725</cdr:x>
      <cdr:y>0.96225</cdr:y>
    </cdr:to>
    <cdr:sp>
      <cdr:nvSpPr>
        <cdr:cNvPr id="11" name="TextBox 13"/>
        <cdr:cNvSpPr txBox="1">
          <a:spLocks noChangeArrowheads="1"/>
        </cdr:cNvSpPr>
      </cdr:nvSpPr>
      <cdr:spPr>
        <a:xfrm>
          <a:off x="5010150" y="5019675"/>
          <a:ext cx="2771775" cy="685800"/>
        </a:xfrm>
        <a:prstGeom prst="rect">
          <a:avLst/>
        </a:prstGeom>
        <a:noFill/>
        <a:ln w="9525" cmpd="sng">
          <a:solidFill>
            <a:srgbClr val="000000"/>
          </a:solidFill>
          <a:headEnd type="none"/>
          <a:tailEnd type="none"/>
        </a:ln>
      </cdr:spPr>
      <cdr:txBody>
        <a:bodyPr vertOverflow="clip" wrap="square"/>
        <a:p>
          <a:pPr algn="l">
            <a:defRPr/>
          </a:pPr>
          <a:r>
            <a:rPr lang="en-US" cap="none" sz="1000" b="1" i="0" u="none" baseline="0">
              <a:latin typeface="Arial"/>
              <a:ea typeface="Arial"/>
              <a:cs typeface="Arial"/>
            </a:rPr>
            <a:t>U.S. DEPARTMENT OF AGRICULTURE
Natural Resources Conservation Service
</a:t>
          </a:r>
          <a:r>
            <a:rPr lang="en-US" cap="none" sz="1000" b="0" i="0" u="none" baseline="0">
              <a:latin typeface="Arial"/>
              <a:ea typeface="Arial"/>
              <a:cs typeface="Arial"/>
            </a:rPr>
            <a:t>Designed/Drawn:_________________________
Checked:_______________________________</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152400</xdr:colOff>
      <xdr:row>12</xdr:row>
      <xdr:rowOff>161925</xdr:rowOff>
    </xdr:from>
    <xdr:ext cx="2838450" cy="676275"/>
    <xdr:sp>
      <xdr:nvSpPr>
        <xdr:cNvPr id="1" name="TextBox 1"/>
        <xdr:cNvSpPr txBox="1">
          <a:spLocks noChangeArrowheads="1"/>
        </xdr:cNvSpPr>
      </xdr:nvSpPr>
      <xdr:spPr>
        <a:xfrm>
          <a:off x="3638550" y="2143125"/>
          <a:ext cx="2838450" cy="676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Landuser:_____________________________</a:t>
          </a:r>
          <a:r>
            <a:rPr lang="en-US" cap="none" sz="1000" b="1" i="0" u="none" baseline="0">
              <a:latin typeface="Arial"/>
              <a:ea typeface="Arial"/>
              <a:cs typeface="Arial"/>
            </a:rPr>
            <a:t>
________________________ </a:t>
          </a:r>
          <a:r>
            <a:rPr lang="en-US" cap="none" sz="1000" b="0" i="0" u="none" baseline="0">
              <a:latin typeface="Arial"/>
              <a:ea typeface="Arial"/>
              <a:cs typeface="Arial"/>
            </a:rPr>
            <a:t>County, Tennessee</a:t>
          </a:r>
          <a:r>
            <a:rPr lang="en-US" cap="none" sz="1000" b="1" i="0" u="none" baseline="0">
              <a:latin typeface="Arial"/>
              <a:ea typeface="Arial"/>
              <a:cs typeface="Arial"/>
            </a:rPr>
            <a:t>
</a:t>
          </a:r>
          <a:r>
            <a:rPr lang="en-US" cap="none" sz="1000" b="0" i="0" u="none" baseline="0">
              <a:latin typeface="Arial"/>
              <a:ea typeface="Arial"/>
              <a:cs typeface="Arial"/>
            </a:rPr>
            <a:t>Location:_____________________________
</a:t>
          </a:r>
        </a:p>
      </xdr:txBody>
    </xdr:sp>
    <xdr:clientData/>
  </xdr:oneCellAnchor>
  <xdr:oneCellAnchor>
    <xdr:from>
      <xdr:col>7</xdr:col>
      <xdr:colOff>238125</xdr:colOff>
      <xdr:row>12</xdr:row>
      <xdr:rowOff>161925</xdr:rowOff>
    </xdr:from>
    <xdr:ext cx="1828800" cy="180975"/>
    <xdr:sp textlink="Design!$B$10">
      <xdr:nvSpPr>
        <xdr:cNvPr id="2" name="TextBox 2"/>
        <xdr:cNvSpPr txBox="1">
          <a:spLocks noChangeArrowheads="1"/>
        </xdr:cNvSpPr>
      </xdr:nvSpPr>
      <xdr:spPr>
        <a:xfrm>
          <a:off x="4333875" y="2143125"/>
          <a:ext cx="1828800" cy="180975"/>
        </a:xfrm>
        <a:prstGeom prst="rect">
          <a:avLst/>
        </a:prstGeom>
        <a:noFill/>
        <a:ln w="9525" cmpd="sng">
          <a:noFill/>
        </a:ln>
      </xdr:spPr>
      <xdr:txBody>
        <a:bodyPr vertOverflow="clip" wrap="square"/>
        <a:p>
          <a:pPr algn="l">
            <a:defRPr/>
          </a:pPr>
          <a:fld id="{5bd439c8-8e88-48ff-8e3e-e3a7e4ff47be}" type="TxLink">
            <a:rPr lang="en-US" cap="none" u="none" baseline="0">
              <a:latin typeface="Arial"/>
              <a:ea typeface="Arial"/>
              <a:cs typeface="Arial"/>
            </a:rPr>
            <a:t/>
          </a:fld>
        </a:p>
      </xdr:txBody>
    </xdr:sp>
    <xdr:clientData/>
  </xdr:oneCellAnchor>
  <xdr:oneCellAnchor>
    <xdr:from>
      <xdr:col>6</xdr:col>
      <xdr:colOff>314325</xdr:colOff>
      <xdr:row>13</xdr:row>
      <xdr:rowOff>142875</xdr:rowOff>
    </xdr:from>
    <xdr:ext cx="1524000" cy="180975"/>
    <xdr:sp textlink="Design!$B$11">
      <xdr:nvSpPr>
        <xdr:cNvPr id="3" name="TextBox 3"/>
        <xdr:cNvSpPr txBox="1">
          <a:spLocks noChangeArrowheads="1"/>
        </xdr:cNvSpPr>
      </xdr:nvSpPr>
      <xdr:spPr>
        <a:xfrm>
          <a:off x="3800475" y="2324100"/>
          <a:ext cx="1524000" cy="180975"/>
        </a:xfrm>
        <a:prstGeom prst="rect">
          <a:avLst/>
        </a:prstGeom>
        <a:noFill/>
        <a:ln w="9525" cmpd="sng">
          <a:noFill/>
        </a:ln>
      </xdr:spPr>
      <xdr:txBody>
        <a:bodyPr vertOverflow="clip" wrap="square"/>
        <a:p>
          <a:pPr algn="l">
            <a:defRPr/>
          </a:pPr>
          <a:fld id="{219415a8-9d58-4875-b53c-7ec5c5f90559}" type="TxLink">
            <a:rPr lang="en-US" cap="none" u="none" baseline="0">
              <a:latin typeface="Arial"/>
              <a:ea typeface="Arial"/>
              <a:cs typeface="Arial"/>
            </a:rPr>
            <a:t/>
          </a:fld>
        </a:p>
      </xdr:txBody>
    </xdr:sp>
    <xdr:clientData/>
  </xdr:oneCellAnchor>
  <xdr:oneCellAnchor>
    <xdr:from>
      <xdr:col>7</xdr:col>
      <xdr:colOff>238125</xdr:colOff>
      <xdr:row>14</xdr:row>
      <xdr:rowOff>114300</xdr:rowOff>
    </xdr:from>
    <xdr:ext cx="1666875" cy="190500"/>
    <xdr:sp textlink="Design!$B$12">
      <xdr:nvSpPr>
        <xdr:cNvPr id="4" name="TextBox 4"/>
        <xdr:cNvSpPr txBox="1">
          <a:spLocks noChangeArrowheads="1"/>
        </xdr:cNvSpPr>
      </xdr:nvSpPr>
      <xdr:spPr>
        <a:xfrm>
          <a:off x="4333875" y="2457450"/>
          <a:ext cx="1666875" cy="190500"/>
        </a:xfrm>
        <a:prstGeom prst="rect">
          <a:avLst/>
        </a:prstGeom>
        <a:noFill/>
        <a:ln w="9525" cmpd="sng">
          <a:noFill/>
        </a:ln>
      </xdr:spPr>
      <xdr:txBody>
        <a:bodyPr vertOverflow="clip" wrap="square"/>
        <a:p>
          <a:pPr algn="l">
            <a:defRPr/>
          </a:pPr>
          <a:fld id="{ed5c3d66-1ab0-42b2-b03b-02bde6d5731d}" type="TxLink">
            <a:rPr lang="en-US" cap="none" u="none" baseline="0">
              <a:latin typeface="Arial"/>
              <a:ea typeface="Arial"/>
              <a:cs typeface="Arial"/>
            </a:rPr>
            <a:t/>
          </a:fld>
        </a:p>
      </xdr:txBody>
    </xdr:sp>
    <xdr:clientData/>
  </xdr:oneCellAnchor>
  <xdr:oneCellAnchor>
    <xdr:from>
      <xdr:col>6</xdr:col>
      <xdr:colOff>581025</xdr:colOff>
      <xdr:row>15</xdr:row>
      <xdr:rowOff>142875</xdr:rowOff>
    </xdr:from>
    <xdr:ext cx="342900" cy="171450"/>
    <xdr:sp textlink="Design!$F$12">
      <xdr:nvSpPr>
        <xdr:cNvPr id="5" name="TextBox 5"/>
        <xdr:cNvSpPr txBox="1">
          <a:spLocks noChangeArrowheads="1"/>
        </xdr:cNvSpPr>
      </xdr:nvSpPr>
      <xdr:spPr>
        <a:xfrm>
          <a:off x="4067175" y="2647950"/>
          <a:ext cx="342900" cy="171450"/>
        </a:xfrm>
        <a:prstGeom prst="rect">
          <a:avLst/>
        </a:prstGeom>
        <a:noFill/>
        <a:ln w="9525" cmpd="sng">
          <a:noFill/>
        </a:ln>
      </xdr:spPr>
      <xdr:txBody>
        <a:bodyPr vertOverflow="clip" wrap="square"/>
        <a:p>
          <a:pPr algn="l">
            <a:defRPr/>
          </a:pPr>
          <a:fld id="{dfe67b5d-9c8b-4752-8050-91162e8e42a0}" type="TxLink">
            <a:rPr lang="en-US" cap="none" u="none" baseline="0">
              <a:latin typeface="Arial"/>
              <a:ea typeface="Arial"/>
              <a:cs typeface="Arial"/>
            </a:rPr>
            <a:t/>
          </a:fld>
        </a:p>
      </xdr:txBody>
    </xdr:sp>
    <xdr:clientData/>
  </xdr:oneCellAnchor>
  <xdr:oneCellAnchor>
    <xdr:from>
      <xdr:col>8</xdr:col>
      <xdr:colOff>247650</xdr:colOff>
      <xdr:row>15</xdr:row>
      <xdr:rowOff>142875</xdr:rowOff>
    </xdr:from>
    <xdr:ext cx="371475" cy="171450"/>
    <xdr:sp textlink="Design!$H$12">
      <xdr:nvSpPr>
        <xdr:cNvPr id="6" name="TextBox 6"/>
        <xdr:cNvSpPr txBox="1">
          <a:spLocks noChangeArrowheads="1"/>
        </xdr:cNvSpPr>
      </xdr:nvSpPr>
      <xdr:spPr>
        <a:xfrm>
          <a:off x="4953000" y="2647950"/>
          <a:ext cx="371475" cy="171450"/>
        </a:xfrm>
        <a:prstGeom prst="rect">
          <a:avLst/>
        </a:prstGeom>
        <a:noFill/>
        <a:ln w="9525" cmpd="sng">
          <a:noFill/>
        </a:ln>
      </xdr:spPr>
      <xdr:txBody>
        <a:bodyPr vertOverflow="clip" wrap="square"/>
        <a:p>
          <a:pPr algn="l">
            <a:defRPr/>
          </a:pPr>
          <a:fld id="{47805ac2-dbfa-4d36-aca3-8b8fc162fbeb}" type="TxLink">
            <a:rPr lang="en-US" cap="none" u="none" baseline="0">
              <a:latin typeface="Arial"/>
              <a:ea typeface="Arial"/>
              <a:cs typeface="Arial"/>
            </a:rPr>
            <a:t/>
          </a:fld>
        </a:p>
      </xdr:txBody>
    </xdr:sp>
    <xdr:clientData/>
  </xdr:oneCellAnchor>
  <xdr:oneCellAnchor>
    <xdr:from>
      <xdr:col>10</xdr:col>
      <xdr:colOff>9525</xdr:colOff>
      <xdr:row>15</xdr:row>
      <xdr:rowOff>142875</xdr:rowOff>
    </xdr:from>
    <xdr:ext cx="304800" cy="171450"/>
    <xdr:sp textlink="Design!$K$12">
      <xdr:nvSpPr>
        <xdr:cNvPr id="7" name="TextBox 7"/>
        <xdr:cNvSpPr txBox="1">
          <a:spLocks noChangeArrowheads="1"/>
        </xdr:cNvSpPr>
      </xdr:nvSpPr>
      <xdr:spPr>
        <a:xfrm>
          <a:off x="5934075" y="2647950"/>
          <a:ext cx="304800" cy="171450"/>
        </a:xfrm>
        <a:prstGeom prst="rect">
          <a:avLst/>
        </a:prstGeom>
        <a:noFill/>
        <a:ln w="9525" cmpd="sng">
          <a:noFill/>
        </a:ln>
      </xdr:spPr>
      <xdr:txBody>
        <a:bodyPr vertOverflow="clip" wrap="square"/>
        <a:p>
          <a:pPr algn="l">
            <a:defRPr/>
          </a:pPr>
          <a:fld id="{1c0d7152-b80d-49ca-87c9-1c9bd54eff49}" type="TxLink">
            <a:rPr lang="en-US" cap="none" u="none" baseline="0">
              <a:latin typeface="Arial"/>
              <a:ea typeface="Arial"/>
              <a:cs typeface="Arial"/>
            </a:rPr>
            <a:t/>
          </a:fld>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66675</xdr:colOff>
      <xdr:row>22</xdr:row>
      <xdr:rowOff>104775</xdr:rowOff>
    </xdr:from>
    <xdr:to>
      <xdr:col>13</xdr:col>
      <xdr:colOff>657225</xdr:colOff>
      <xdr:row>32</xdr:row>
      <xdr:rowOff>123825</xdr:rowOff>
    </xdr:to>
    <xdr:pic>
      <xdr:nvPicPr>
        <xdr:cNvPr id="1" name="Picture 4"/>
        <xdr:cNvPicPr preferRelativeResize="1">
          <a:picLocks noChangeAspect="1"/>
        </xdr:cNvPicPr>
      </xdr:nvPicPr>
      <xdr:blipFill>
        <a:blip r:embed="rId1"/>
        <a:stretch>
          <a:fillRect/>
        </a:stretch>
      </xdr:blipFill>
      <xdr:spPr>
        <a:xfrm>
          <a:off x="8296275" y="4867275"/>
          <a:ext cx="590550" cy="1638300"/>
        </a:xfrm>
        <a:prstGeom prst="rect">
          <a:avLst/>
        </a:prstGeom>
        <a:noFill/>
        <a:ln w="1" cmpd="sng">
          <a:noFill/>
        </a:ln>
      </xdr:spPr>
    </xdr:pic>
    <xdr:clientData/>
  </xdr:twoCellAnchor>
  <xdr:twoCellAnchor>
    <xdr:from>
      <xdr:col>12</xdr:col>
      <xdr:colOff>371475</xdr:colOff>
      <xdr:row>32</xdr:row>
      <xdr:rowOff>152400</xdr:rowOff>
    </xdr:from>
    <xdr:to>
      <xdr:col>13</xdr:col>
      <xdr:colOff>371475</xdr:colOff>
      <xdr:row>33</xdr:row>
      <xdr:rowOff>123825</xdr:rowOff>
    </xdr:to>
    <xdr:sp>
      <xdr:nvSpPr>
        <xdr:cNvPr id="2" name="TextBox 6"/>
        <xdr:cNvSpPr txBox="1">
          <a:spLocks noChangeArrowheads="1"/>
        </xdr:cNvSpPr>
      </xdr:nvSpPr>
      <xdr:spPr>
        <a:xfrm>
          <a:off x="8229600" y="6534150"/>
          <a:ext cx="37147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File No.</a:t>
          </a:r>
        </a:p>
      </xdr:txBody>
    </xdr:sp>
    <xdr:clientData/>
  </xdr:twoCellAnchor>
  <xdr:twoCellAnchor>
    <xdr:from>
      <xdr:col>12</xdr:col>
      <xdr:colOff>371475</xdr:colOff>
      <xdr:row>33</xdr:row>
      <xdr:rowOff>142875</xdr:rowOff>
    </xdr:from>
    <xdr:to>
      <xdr:col>13</xdr:col>
      <xdr:colOff>561975</xdr:colOff>
      <xdr:row>34</xdr:row>
      <xdr:rowOff>114300</xdr:rowOff>
    </xdr:to>
    <xdr:sp>
      <xdr:nvSpPr>
        <xdr:cNvPr id="3" name="TextBox 7"/>
        <xdr:cNvSpPr txBox="1">
          <a:spLocks noChangeArrowheads="1"/>
        </xdr:cNvSpPr>
      </xdr:nvSpPr>
      <xdr:spPr>
        <a:xfrm>
          <a:off x="8229600" y="6696075"/>
          <a:ext cx="5619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Drawing No.</a:t>
          </a:r>
        </a:p>
      </xdr:txBody>
    </xdr:sp>
    <xdr:clientData/>
  </xdr:twoCellAnchor>
  <xdr:twoCellAnchor>
    <xdr:from>
      <xdr:col>12</xdr:col>
      <xdr:colOff>371475</xdr:colOff>
      <xdr:row>35</xdr:row>
      <xdr:rowOff>9525</xdr:rowOff>
    </xdr:from>
    <xdr:to>
      <xdr:col>13</xdr:col>
      <xdr:colOff>657225</xdr:colOff>
      <xdr:row>35</xdr:row>
      <xdr:rowOff>152400</xdr:rowOff>
    </xdr:to>
    <xdr:sp>
      <xdr:nvSpPr>
        <xdr:cNvPr id="4" name="TextBox 8"/>
        <xdr:cNvSpPr txBox="1">
          <a:spLocks noChangeArrowheads="1"/>
        </xdr:cNvSpPr>
      </xdr:nvSpPr>
      <xdr:spPr>
        <a:xfrm>
          <a:off x="8229600" y="6943725"/>
          <a:ext cx="65722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Sheet      of</a:t>
          </a:r>
        </a:p>
      </xdr:txBody>
    </xdr:sp>
    <xdr:clientData/>
  </xdr:twoCellAnchor>
  <xdr:twoCellAnchor>
    <xdr:from>
      <xdr:col>13</xdr:col>
      <xdr:colOff>133350</xdr:colOff>
      <xdr:row>0</xdr:row>
      <xdr:rowOff>85725</xdr:rowOff>
    </xdr:from>
    <xdr:to>
      <xdr:col>13</xdr:col>
      <xdr:colOff>295275</xdr:colOff>
      <xdr:row>11</xdr:row>
      <xdr:rowOff>0</xdr:rowOff>
    </xdr:to>
    <xdr:sp>
      <xdr:nvSpPr>
        <xdr:cNvPr id="5" name="TextBox 9"/>
        <xdr:cNvSpPr txBox="1">
          <a:spLocks noChangeArrowheads="1"/>
        </xdr:cNvSpPr>
      </xdr:nvSpPr>
      <xdr:spPr>
        <a:xfrm>
          <a:off x="8362950" y="85725"/>
          <a:ext cx="161925" cy="2409825"/>
        </a:xfrm>
        <a:prstGeom prst="rect">
          <a:avLst/>
        </a:prstGeom>
        <a:noFill/>
        <a:ln w="9525" cmpd="sng">
          <a:noFill/>
        </a:ln>
      </xdr:spPr>
      <xdr:txBody>
        <a:bodyPr vertOverflow="clip" wrap="square" anchor="b" vert="vert270"/>
        <a:p>
          <a:pPr algn="ctr">
            <a:defRPr/>
          </a:pPr>
          <a:r>
            <a:rPr lang="en-US" cap="none" sz="800" b="0" i="0" u="none" baseline="0">
              <a:latin typeface="Arial"/>
              <a:ea typeface="Arial"/>
              <a:cs typeface="Arial"/>
            </a:rPr>
            <a:t>Designed__________________________________</a:t>
          </a:r>
        </a:p>
      </xdr:txBody>
    </xdr:sp>
    <xdr:clientData/>
  </xdr:twoCellAnchor>
  <xdr:twoCellAnchor>
    <xdr:from>
      <xdr:col>13</xdr:col>
      <xdr:colOff>266700</xdr:colOff>
      <xdr:row>0</xdr:row>
      <xdr:rowOff>47625</xdr:rowOff>
    </xdr:from>
    <xdr:to>
      <xdr:col>13</xdr:col>
      <xdr:colOff>428625</xdr:colOff>
      <xdr:row>11</xdr:row>
      <xdr:rowOff>0</xdr:rowOff>
    </xdr:to>
    <xdr:sp>
      <xdr:nvSpPr>
        <xdr:cNvPr id="6" name="TextBox 10"/>
        <xdr:cNvSpPr txBox="1">
          <a:spLocks noChangeArrowheads="1"/>
        </xdr:cNvSpPr>
      </xdr:nvSpPr>
      <xdr:spPr>
        <a:xfrm>
          <a:off x="8496300" y="47625"/>
          <a:ext cx="161925" cy="2447925"/>
        </a:xfrm>
        <a:prstGeom prst="rect">
          <a:avLst/>
        </a:prstGeom>
        <a:noFill/>
        <a:ln w="9525" cmpd="sng">
          <a:noFill/>
        </a:ln>
      </xdr:spPr>
      <xdr:txBody>
        <a:bodyPr vertOverflow="clip" wrap="square" anchor="b" vert="vert270"/>
        <a:p>
          <a:pPr algn="ctr">
            <a:defRPr/>
          </a:pPr>
          <a:r>
            <a:rPr lang="en-US" cap="none" sz="800" b="0" i="0" u="none" baseline="0">
              <a:latin typeface="Arial"/>
              <a:ea typeface="Arial"/>
              <a:cs typeface="Arial"/>
            </a:rPr>
            <a:t>Drawn______________________________________</a:t>
          </a:r>
        </a:p>
      </xdr:txBody>
    </xdr:sp>
    <xdr:clientData/>
  </xdr:twoCellAnchor>
  <xdr:twoCellAnchor>
    <xdr:from>
      <xdr:col>13</xdr:col>
      <xdr:colOff>409575</xdr:colOff>
      <xdr:row>0</xdr:row>
      <xdr:rowOff>47625</xdr:rowOff>
    </xdr:from>
    <xdr:to>
      <xdr:col>13</xdr:col>
      <xdr:colOff>571500</xdr:colOff>
      <xdr:row>11</xdr:row>
      <xdr:rowOff>0</xdr:rowOff>
    </xdr:to>
    <xdr:sp>
      <xdr:nvSpPr>
        <xdr:cNvPr id="7" name="TextBox 11"/>
        <xdr:cNvSpPr txBox="1">
          <a:spLocks noChangeArrowheads="1"/>
        </xdr:cNvSpPr>
      </xdr:nvSpPr>
      <xdr:spPr>
        <a:xfrm>
          <a:off x="8639175" y="47625"/>
          <a:ext cx="161925" cy="2447925"/>
        </a:xfrm>
        <a:prstGeom prst="rect">
          <a:avLst/>
        </a:prstGeom>
        <a:noFill/>
        <a:ln w="9525" cmpd="sng">
          <a:noFill/>
        </a:ln>
      </xdr:spPr>
      <xdr:txBody>
        <a:bodyPr vertOverflow="clip" wrap="square" anchor="b" vert="vert270"/>
        <a:p>
          <a:pPr algn="ctr">
            <a:defRPr/>
          </a:pPr>
          <a:r>
            <a:rPr lang="en-US" cap="none" sz="800" b="0" i="0" u="none" baseline="0">
              <a:latin typeface="Arial"/>
              <a:ea typeface="Arial"/>
              <a:cs typeface="Arial"/>
            </a:rPr>
            <a:t>Checked___________________________________</a:t>
          </a:r>
        </a:p>
      </xdr:txBody>
    </xdr:sp>
    <xdr:clientData/>
  </xdr:twoCellAnchor>
  <xdr:twoCellAnchor>
    <xdr:from>
      <xdr:col>13</xdr:col>
      <xdr:colOff>542925</xdr:colOff>
      <xdr:row>0</xdr:row>
      <xdr:rowOff>19050</xdr:rowOff>
    </xdr:from>
    <xdr:to>
      <xdr:col>14</xdr:col>
      <xdr:colOff>19050</xdr:colOff>
      <xdr:row>11</xdr:row>
      <xdr:rowOff>0</xdr:rowOff>
    </xdr:to>
    <xdr:sp>
      <xdr:nvSpPr>
        <xdr:cNvPr id="8" name="TextBox 12"/>
        <xdr:cNvSpPr txBox="1">
          <a:spLocks noChangeArrowheads="1"/>
        </xdr:cNvSpPr>
      </xdr:nvSpPr>
      <xdr:spPr>
        <a:xfrm>
          <a:off x="8772525" y="19050"/>
          <a:ext cx="161925" cy="2476500"/>
        </a:xfrm>
        <a:prstGeom prst="rect">
          <a:avLst/>
        </a:prstGeom>
        <a:noFill/>
        <a:ln w="9525" cmpd="sng">
          <a:noFill/>
        </a:ln>
      </xdr:spPr>
      <xdr:txBody>
        <a:bodyPr vertOverflow="clip" wrap="square" anchor="b" vert="vert270"/>
        <a:p>
          <a:pPr algn="ctr">
            <a:defRPr/>
          </a:pPr>
          <a:r>
            <a:rPr lang="en-US" cap="none" sz="800" b="0" i="0" u="none" baseline="0">
              <a:latin typeface="Arial"/>
              <a:ea typeface="Arial"/>
              <a:cs typeface="Arial"/>
            </a:rPr>
            <a:t>Approved________________________</a:t>
          </a:r>
        </a:p>
      </xdr:txBody>
    </xdr:sp>
    <xdr:clientData/>
  </xdr:twoCellAnchor>
  <xdr:twoCellAnchor>
    <xdr:from>
      <xdr:col>13</xdr:col>
      <xdr:colOff>9525</xdr:colOff>
      <xdr:row>0</xdr:row>
      <xdr:rowOff>47625</xdr:rowOff>
    </xdr:from>
    <xdr:to>
      <xdr:col>13</xdr:col>
      <xdr:colOff>123825</xdr:colOff>
      <xdr:row>2</xdr:row>
      <xdr:rowOff>57150</xdr:rowOff>
    </xdr:to>
    <xdr:sp>
      <xdr:nvSpPr>
        <xdr:cNvPr id="9" name="TextBox 13"/>
        <xdr:cNvSpPr txBox="1">
          <a:spLocks noChangeArrowheads="1"/>
        </xdr:cNvSpPr>
      </xdr:nvSpPr>
      <xdr:spPr>
        <a:xfrm>
          <a:off x="8239125" y="47625"/>
          <a:ext cx="114300" cy="685800"/>
        </a:xfrm>
        <a:prstGeom prst="rect">
          <a:avLst/>
        </a:prstGeom>
        <a:noFill/>
        <a:ln w="9525" cmpd="sng">
          <a:noFill/>
        </a:ln>
      </xdr:spPr>
      <xdr:txBody>
        <a:bodyPr vertOverflow="clip" wrap="square" anchor="ctr" vert="vert270"/>
        <a:p>
          <a:pPr algn="ctr">
            <a:defRPr/>
          </a:pPr>
          <a:r>
            <a:rPr lang="en-US" cap="none" sz="800" b="0" i="0" u="none" baseline="0">
              <a:latin typeface="Arial"/>
              <a:ea typeface="Arial"/>
              <a:cs typeface="Arial"/>
            </a:rPr>
            <a:t>Date</a:t>
          </a:r>
        </a:p>
      </xdr:txBody>
    </xdr:sp>
    <xdr:clientData/>
  </xdr:twoCellAnchor>
  <xdr:twoCellAnchor>
    <xdr:from>
      <xdr:col>13</xdr:col>
      <xdr:colOff>38100</xdr:colOff>
      <xdr:row>2</xdr:row>
      <xdr:rowOff>95250</xdr:rowOff>
    </xdr:from>
    <xdr:to>
      <xdr:col>13</xdr:col>
      <xdr:colOff>371475</xdr:colOff>
      <xdr:row>7</xdr:row>
      <xdr:rowOff>142875</xdr:rowOff>
    </xdr:to>
    <xdr:sp textlink="Design!G10">
      <xdr:nvSpPr>
        <xdr:cNvPr id="10" name="TextBox 15"/>
        <xdr:cNvSpPr txBox="1">
          <a:spLocks noChangeArrowheads="1"/>
        </xdr:cNvSpPr>
      </xdr:nvSpPr>
      <xdr:spPr>
        <a:xfrm>
          <a:off x="8267700" y="771525"/>
          <a:ext cx="333375" cy="1219200"/>
        </a:xfrm>
        <a:prstGeom prst="rect">
          <a:avLst/>
        </a:prstGeom>
        <a:noFill/>
        <a:ln w="9525" cmpd="sng">
          <a:noFill/>
        </a:ln>
      </xdr:spPr>
      <xdr:txBody>
        <a:bodyPr vertOverflow="clip" wrap="square" anchor="b" vert="vert270"/>
        <a:p>
          <a:pPr algn="ctr">
            <a:defRPr/>
          </a:pPr>
          <a:fld id="{0b71b799-5fb8-41e5-9cea-4d700f4e89d2}" type="TxLink">
            <a:rPr lang="en-US" cap="none" u="none" baseline="0">
              <a:latin typeface="Arial"/>
              <a:ea typeface="Arial"/>
              <a:cs typeface="Arial"/>
            </a:rPr>
            <a:t/>
          </a:fld>
        </a:p>
      </xdr:txBody>
    </xdr:sp>
    <xdr:clientData/>
  </xdr:twoCellAnchor>
  <xdr:twoCellAnchor>
    <xdr:from>
      <xdr:col>13</xdr:col>
      <xdr:colOff>142875</xdr:colOff>
      <xdr:row>11</xdr:row>
      <xdr:rowOff>66675</xdr:rowOff>
    </xdr:from>
    <xdr:to>
      <xdr:col>13</xdr:col>
      <xdr:colOff>609600</xdr:colOff>
      <xdr:row>21</xdr:row>
      <xdr:rowOff>133350</xdr:rowOff>
    </xdr:to>
    <xdr:sp>
      <xdr:nvSpPr>
        <xdr:cNvPr id="11" name="TextBox 16"/>
        <xdr:cNvSpPr txBox="1">
          <a:spLocks noChangeArrowheads="1"/>
        </xdr:cNvSpPr>
      </xdr:nvSpPr>
      <xdr:spPr>
        <a:xfrm>
          <a:off x="8372475" y="2562225"/>
          <a:ext cx="466725" cy="2162175"/>
        </a:xfrm>
        <a:prstGeom prst="rect">
          <a:avLst/>
        </a:prstGeom>
        <a:noFill/>
        <a:ln w="9525" cmpd="sng">
          <a:noFill/>
        </a:ln>
      </xdr:spPr>
      <xdr:txBody>
        <a:bodyPr vertOverflow="clip" wrap="square" anchor="ctr" vert="vert270"/>
        <a:p>
          <a:pPr algn="l">
            <a:defRPr/>
          </a:pPr>
          <a:r>
            <a:rPr lang="en-US" cap="none" sz="1100" b="0" i="0" u="none" baseline="0">
              <a:latin typeface="Arial"/>
              <a:ea typeface="Arial"/>
              <a:cs typeface="Arial"/>
            </a:rPr>
            <a:t>LIVESTOCK WATERING SYSTEM </a:t>
          </a:r>
        </a:p>
      </xdr:txBody>
    </xdr:sp>
    <xdr:clientData/>
  </xdr:twoCellAnchor>
  <xdr:twoCellAnchor>
    <xdr:from>
      <xdr:col>5</xdr:col>
      <xdr:colOff>304800</xdr:colOff>
      <xdr:row>0</xdr:row>
      <xdr:rowOff>123825</xdr:rowOff>
    </xdr:from>
    <xdr:to>
      <xdr:col>8</xdr:col>
      <xdr:colOff>76200</xdr:colOff>
      <xdr:row>2</xdr:row>
      <xdr:rowOff>104775</xdr:rowOff>
    </xdr:to>
    <xdr:sp>
      <xdr:nvSpPr>
        <xdr:cNvPr id="12" name="TextBox 17"/>
        <xdr:cNvSpPr txBox="1">
          <a:spLocks noChangeArrowheads="1"/>
        </xdr:cNvSpPr>
      </xdr:nvSpPr>
      <xdr:spPr>
        <a:xfrm>
          <a:off x="3495675" y="123825"/>
          <a:ext cx="1619250" cy="657225"/>
        </a:xfrm>
        <a:prstGeom prst="rect">
          <a:avLst/>
        </a:prstGeom>
        <a:noFill/>
        <a:ln w="9525" cmpd="sng">
          <a:noFill/>
        </a:ln>
      </xdr:spPr>
      <xdr:txBody>
        <a:bodyPr vertOverflow="clip" wrap="square"/>
        <a:p>
          <a:pPr algn="l">
            <a:defRPr/>
          </a:pPr>
          <a:r>
            <a:rPr lang="en-US" cap="none" sz="1400" b="0" i="0" u="sng" baseline="0">
              <a:latin typeface="Arial"/>
              <a:ea typeface="Arial"/>
              <a:cs typeface="Arial"/>
            </a:rPr>
            <a:t>Plan View</a:t>
          </a:r>
        </a:p>
      </xdr:txBody>
    </xdr:sp>
    <xdr:clientData/>
  </xdr:twoCellAnchor>
  <xdr:twoCellAnchor>
    <xdr:from>
      <xdr:col>2</xdr:col>
      <xdr:colOff>285750</xdr:colOff>
      <xdr:row>19</xdr:row>
      <xdr:rowOff>0</xdr:rowOff>
    </xdr:from>
    <xdr:to>
      <xdr:col>3</xdr:col>
      <xdr:colOff>209550</xdr:colOff>
      <xdr:row>20</xdr:row>
      <xdr:rowOff>19050</xdr:rowOff>
    </xdr:to>
    <xdr:sp textlink="Design!Y23">
      <xdr:nvSpPr>
        <xdr:cNvPr id="13" name="TextBox 19"/>
        <xdr:cNvSpPr txBox="1">
          <a:spLocks noChangeArrowheads="1"/>
        </xdr:cNvSpPr>
      </xdr:nvSpPr>
      <xdr:spPr>
        <a:xfrm>
          <a:off x="1552575" y="4267200"/>
          <a:ext cx="533400" cy="180975"/>
        </a:xfrm>
        <a:prstGeom prst="rect">
          <a:avLst/>
        </a:prstGeom>
        <a:noFill/>
        <a:ln w="9525" cmpd="sng">
          <a:noFill/>
        </a:ln>
      </xdr:spPr>
      <xdr:txBody>
        <a:bodyPr vertOverflow="clip" wrap="square"/>
        <a:p>
          <a:pPr algn="ctr">
            <a:defRPr/>
          </a:pPr>
          <a:fld id="{10542194-135c-4fcf-80c5-2bd16fbf386c}" type="TxLink">
            <a:rPr lang="en-US" cap="none" sz="1000" b="0" i="0" u="none" baseline="0">
              <a:latin typeface="Arial"/>
              <a:ea typeface="Arial"/>
              <a:cs typeface="Arial"/>
            </a:rPr>
            <a:t>2 ft.</a:t>
          </a:fld>
        </a:p>
      </xdr:txBody>
    </xdr:sp>
    <xdr:clientData/>
  </xdr:twoCellAnchor>
  <xdr:twoCellAnchor>
    <xdr:from>
      <xdr:col>2</xdr:col>
      <xdr:colOff>323850</xdr:colOff>
      <xdr:row>20</xdr:row>
      <xdr:rowOff>0</xdr:rowOff>
    </xdr:from>
    <xdr:to>
      <xdr:col>3</xdr:col>
      <xdr:colOff>247650</xdr:colOff>
      <xdr:row>21</xdr:row>
      <xdr:rowOff>19050</xdr:rowOff>
    </xdr:to>
    <xdr:sp textlink="P4">
      <xdr:nvSpPr>
        <xdr:cNvPr id="14" name="TextBox 21"/>
        <xdr:cNvSpPr txBox="1">
          <a:spLocks noChangeArrowheads="1"/>
        </xdr:cNvSpPr>
      </xdr:nvSpPr>
      <xdr:spPr>
        <a:xfrm>
          <a:off x="1590675" y="4429125"/>
          <a:ext cx="533400" cy="180975"/>
        </a:xfrm>
        <a:prstGeom prst="rect">
          <a:avLst/>
        </a:prstGeom>
        <a:noFill/>
        <a:ln w="9525" cmpd="sng">
          <a:noFill/>
        </a:ln>
      </xdr:spPr>
      <xdr:txBody>
        <a:bodyPr vertOverflow="clip" wrap="square"/>
        <a:p>
          <a:pPr algn="ctr">
            <a:defRPr/>
          </a:pPr>
          <a:fld id="{8f9d6e79-8bd0-42ef-a517-91c41f1eede2}" type="TxLink">
            <a:rPr lang="en-US" cap="none" sz="1000" b="0" i="0" u="none" baseline="0">
              <a:latin typeface="Arial"/>
              <a:ea typeface="Arial"/>
              <a:cs typeface="Arial"/>
            </a:rPr>
            <a:t>150</a:t>
          </a:fld>
        </a:p>
      </xdr:txBody>
    </xdr:sp>
    <xdr:clientData/>
  </xdr:twoCellAnchor>
  <xdr:twoCellAnchor>
    <xdr:from>
      <xdr:col>13</xdr:col>
      <xdr:colOff>19050</xdr:colOff>
      <xdr:row>0</xdr:row>
      <xdr:rowOff>9525</xdr:rowOff>
    </xdr:from>
    <xdr:to>
      <xdr:col>13</xdr:col>
      <xdr:colOff>304800</xdr:colOff>
      <xdr:row>2</xdr:row>
      <xdr:rowOff>85725</xdr:rowOff>
    </xdr:to>
    <xdr:sp textlink="$P$2">
      <xdr:nvSpPr>
        <xdr:cNvPr id="15" name="TextBox 14"/>
        <xdr:cNvSpPr txBox="1">
          <a:spLocks noChangeArrowheads="1"/>
        </xdr:cNvSpPr>
      </xdr:nvSpPr>
      <xdr:spPr>
        <a:xfrm>
          <a:off x="8248650" y="9525"/>
          <a:ext cx="285750" cy="752475"/>
        </a:xfrm>
        <a:prstGeom prst="rect">
          <a:avLst/>
        </a:prstGeom>
        <a:noFill/>
        <a:ln w="9525" cmpd="sng">
          <a:noFill/>
        </a:ln>
      </xdr:spPr>
      <xdr:txBody>
        <a:bodyPr vertOverflow="clip" wrap="square" anchor="ctr" vert="vert270"/>
        <a:p>
          <a:pPr algn="r">
            <a:defRPr/>
          </a:pPr>
          <a:fld id="{34e359d4-9b18-4989-a8d2-574e6da12d7d}" type="TxLink">
            <a:rPr lang="en-US" cap="none" sz="1000" b="0" i="0" u="none" baseline="0">
              <a:latin typeface="Arial"/>
              <a:ea typeface="Arial"/>
              <a:cs typeface="Arial"/>
            </a:rPr>
            <a:t>8/06</a:t>
          </a:fld>
        </a:p>
      </xdr:txBody>
    </xdr:sp>
    <xdr:clientData/>
  </xdr:twoCellAnchor>
  <xdr:twoCellAnchor>
    <xdr:from>
      <xdr:col>5</xdr:col>
      <xdr:colOff>104775</xdr:colOff>
      <xdr:row>22</xdr:row>
      <xdr:rowOff>0</xdr:rowOff>
    </xdr:from>
    <xdr:to>
      <xdr:col>7</xdr:col>
      <xdr:colOff>923925</xdr:colOff>
      <xdr:row>34</xdr:row>
      <xdr:rowOff>0</xdr:rowOff>
    </xdr:to>
    <xdr:sp>
      <xdr:nvSpPr>
        <xdr:cNvPr id="16" name="TextBox 23"/>
        <xdr:cNvSpPr txBox="1">
          <a:spLocks noChangeArrowheads="1"/>
        </xdr:cNvSpPr>
      </xdr:nvSpPr>
      <xdr:spPr>
        <a:xfrm>
          <a:off x="3295650" y="4762500"/>
          <a:ext cx="1685925" cy="1981200"/>
        </a:xfrm>
        <a:prstGeom prst="rect">
          <a:avLst/>
        </a:prstGeom>
        <a:noFill/>
        <a:ln w="9525" cmpd="sng">
          <a:solidFill>
            <a:srgbClr val="000000"/>
          </a:solidFill>
          <a:headEnd type="none"/>
          <a:tailEnd type="none"/>
        </a:ln>
      </xdr:spPr>
      <xdr:txBody>
        <a:bodyPr vertOverflow="clip" wrap="square"/>
        <a:p>
          <a:pPr algn="l">
            <a:defRPr/>
          </a:pPr>
          <a:r>
            <a:rPr lang="en-US" cap="none" sz="700" b="1" i="0" u="none" baseline="0">
              <a:latin typeface="Arial"/>
              <a:ea typeface="Arial"/>
              <a:cs typeface="Arial"/>
            </a:rPr>
            <a:t>Tennessee State Law Requires a 72 Hour (3 Working Days) Advance Notice Before You Dig!  No representation is made by the Natural Resources Conservation Service as to the existence or nonexistence of underground utilities.  Utilities can be notified by calling</a:t>
          </a:r>
        </a:p>
      </xdr:txBody>
    </xdr:sp>
    <xdr:clientData/>
  </xdr:twoCellAnchor>
  <xdr:twoCellAnchor>
    <xdr:from>
      <xdr:col>5</xdr:col>
      <xdr:colOff>333375</xdr:colOff>
      <xdr:row>28</xdr:row>
      <xdr:rowOff>85725</xdr:rowOff>
    </xdr:from>
    <xdr:to>
      <xdr:col>7</xdr:col>
      <xdr:colOff>647700</xdr:colOff>
      <xdr:row>33</xdr:row>
      <xdr:rowOff>142875</xdr:rowOff>
    </xdr:to>
    <xdr:pic>
      <xdr:nvPicPr>
        <xdr:cNvPr id="17" name="Picture 22">
          <a:hlinkClick r:id="rId4"/>
        </xdr:cNvPr>
        <xdr:cNvPicPr preferRelativeResize="1">
          <a:picLocks noChangeAspect="1"/>
        </xdr:cNvPicPr>
      </xdr:nvPicPr>
      <xdr:blipFill>
        <a:blip r:embed="rId2"/>
        <a:srcRect l="23591" r="26055" b="22557"/>
        <a:stretch>
          <a:fillRect/>
        </a:stretch>
      </xdr:blipFill>
      <xdr:spPr>
        <a:xfrm>
          <a:off x="3524250" y="5819775"/>
          <a:ext cx="1181100" cy="876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2</xdr:row>
      <xdr:rowOff>66675</xdr:rowOff>
    </xdr:from>
    <xdr:ext cx="2838450" cy="676275"/>
    <xdr:sp>
      <xdr:nvSpPr>
        <xdr:cNvPr id="1" name="TextBox 7"/>
        <xdr:cNvSpPr txBox="1">
          <a:spLocks noChangeArrowheads="1"/>
        </xdr:cNvSpPr>
      </xdr:nvSpPr>
      <xdr:spPr>
        <a:xfrm>
          <a:off x="371475" y="447675"/>
          <a:ext cx="2838450" cy="676275"/>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Landuser:_____________________________</a:t>
          </a:r>
          <a:r>
            <a:rPr lang="en-US" cap="none" sz="1000" b="1" i="0" u="none" baseline="0">
              <a:latin typeface="Arial"/>
              <a:ea typeface="Arial"/>
              <a:cs typeface="Arial"/>
            </a:rPr>
            <a:t>
________________________ </a:t>
          </a:r>
          <a:r>
            <a:rPr lang="en-US" cap="none" sz="1000" b="0" i="0" u="none" baseline="0">
              <a:latin typeface="Arial"/>
              <a:ea typeface="Arial"/>
              <a:cs typeface="Arial"/>
            </a:rPr>
            <a:t>County, Tennessee</a:t>
          </a:r>
          <a:r>
            <a:rPr lang="en-US" cap="none" sz="1000" b="1" i="0" u="none" baseline="0">
              <a:latin typeface="Arial"/>
              <a:ea typeface="Arial"/>
              <a:cs typeface="Arial"/>
            </a:rPr>
            <a:t>
</a:t>
          </a:r>
          <a:r>
            <a:rPr lang="en-US" cap="none" sz="1000" b="0" i="0" u="none" baseline="0">
              <a:latin typeface="Arial"/>
              <a:ea typeface="Arial"/>
              <a:cs typeface="Arial"/>
            </a:rPr>
            <a:t>Location:_____________________________
</a:t>
          </a:r>
        </a:p>
      </xdr:txBody>
    </xdr:sp>
    <xdr:clientData/>
  </xdr:oneCellAnchor>
  <xdr:oneCellAnchor>
    <xdr:from>
      <xdr:col>1</xdr:col>
      <xdr:colOff>361950</xdr:colOff>
      <xdr:row>2</xdr:row>
      <xdr:rowOff>66675</xdr:rowOff>
    </xdr:from>
    <xdr:ext cx="1828800" cy="180975"/>
    <xdr:sp textlink="Design!$B$10">
      <xdr:nvSpPr>
        <xdr:cNvPr id="2" name="TextBox 8"/>
        <xdr:cNvSpPr txBox="1">
          <a:spLocks noChangeArrowheads="1"/>
        </xdr:cNvSpPr>
      </xdr:nvSpPr>
      <xdr:spPr>
        <a:xfrm>
          <a:off x="971550" y="447675"/>
          <a:ext cx="1828800" cy="180975"/>
        </a:xfrm>
        <a:prstGeom prst="rect">
          <a:avLst/>
        </a:prstGeom>
        <a:noFill/>
        <a:ln w="9525" cmpd="sng">
          <a:noFill/>
        </a:ln>
      </xdr:spPr>
      <xdr:txBody>
        <a:bodyPr vertOverflow="clip" wrap="square"/>
        <a:p>
          <a:pPr algn="l">
            <a:defRPr/>
          </a:pPr>
          <a:fld id="{10a0695d-e03f-436c-9597-8aa8624cfa55}" type="TxLink">
            <a:rPr lang="en-US" cap="none" u="none" baseline="0">
              <a:latin typeface="Arial"/>
              <a:ea typeface="Arial"/>
              <a:cs typeface="Arial"/>
            </a:rPr>
            <a:t/>
          </a:fld>
        </a:p>
      </xdr:txBody>
    </xdr:sp>
    <xdr:clientData/>
  </xdr:oneCellAnchor>
  <xdr:oneCellAnchor>
    <xdr:from>
      <xdr:col>0</xdr:col>
      <xdr:colOff>438150</xdr:colOff>
      <xdr:row>3</xdr:row>
      <xdr:rowOff>85725</xdr:rowOff>
    </xdr:from>
    <xdr:ext cx="1524000" cy="180975"/>
    <xdr:sp textlink="Design!$B$11">
      <xdr:nvSpPr>
        <xdr:cNvPr id="3" name="TextBox 9"/>
        <xdr:cNvSpPr txBox="1">
          <a:spLocks noChangeArrowheads="1"/>
        </xdr:cNvSpPr>
      </xdr:nvSpPr>
      <xdr:spPr>
        <a:xfrm>
          <a:off x="438150" y="628650"/>
          <a:ext cx="1524000" cy="180975"/>
        </a:xfrm>
        <a:prstGeom prst="rect">
          <a:avLst/>
        </a:prstGeom>
        <a:noFill/>
        <a:ln w="9525" cmpd="sng">
          <a:noFill/>
        </a:ln>
      </xdr:spPr>
      <xdr:txBody>
        <a:bodyPr vertOverflow="clip" wrap="square"/>
        <a:p>
          <a:pPr algn="l">
            <a:defRPr/>
          </a:pPr>
          <a:fld id="{31f2b444-01ed-4004-b0a5-d440cfed9726}" type="TxLink">
            <a:rPr lang="en-US" cap="none" u="none" baseline="0">
              <a:latin typeface="Arial"/>
              <a:ea typeface="Arial"/>
              <a:cs typeface="Arial"/>
            </a:rPr>
            <a:t/>
          </a:fld>
        </a:p>
      </xdr:txBody>
    </xdr:sp>
    <xdr:clientData/>
  </xdr:oneCellAnchor>
  <xdr:oneCellAnchor>
    <xdr:from>
      <xdr:col>1</xdr:col>
      <xdr:colOff>361950</xdr:colOff>
      <xdr:row>4</xdr:row>
      <xdr:rowOff>38100</xdr:rowOff>
    </xdr:from>
    <xdr:ext cx="1666875" cy="190500"/>
    <xdr:sp textlink="Design!$B$12">
      <xdr:nvSpPr>
        <xdr:cNvPr id="4" name="TextBox 10"/>
        <xdr:cNvSpPr txBox="1">
          <a:spLocks noChangeArrowheads="1"/>
        </xdr:cNvSpPr>
      </xdr:nvSpPr>
      <xdr:spPr>
        <a:xfrm>
          <a:off x="971550" y="762000"/>
          <a:ext cx="1666875" cy="190500"/>
        </a:xfrm>
        <a:prstGeom prst="rect">
          <a:avLst/>
        </a:prstGeom>
        <a:noFill/>
        <a:ln w="9525" cmpd="sng">
          <a:noFill/>
        </a:ln>
      </xdr:spPr>
      <xdr:txBody>
        <a:bodyPr vertOverflow="clip" wrap="square"/>
        <a:p>
          <a:pPr algn="l">
            <a:defRPr/>
          </a:pPr>
          <a:fld id="{6e752302-8540-4de0-a1e5-4510427b2050}" type="TxLink">
            <a:rPr lang="en-US" cap="none" u="none" baseline="0">
              <a:latin typeface="Arial"/>
              <a:ea typeface="Arial"/>
              <a:cs typeface="Arial"/>
            </a:rPr>
            <a:t/>
          </a:fld>
        </a:p>
      </xdr:txBody>
    </xdr:sp>
    <xdr:clientData/>
  </xdr:oneCellAnchor>
  <xdr:oneCellAnchor>
    <xdr:from>
      <xdr:col>1</xdr:col>
      <xdr:colOff>95250</xdr:colOff>
      <xdr:row>5</xdr:row>
      <xdr:rowOff>47625</xdr:rowOff>
    </xdr:from>
    <xdr:ext cx="342900" cy="171450"/>
    <xdr:sp textlink="Design!$F$12">
      <xdr:nvSpPr>
        <xdr:cNvPr id="5" name="TextBox 11"/>
        <xdr:cNvSpPr txBox="1">
          <a:spLocks noChangeArrowheads="1"/>
        </xdr:cNvSpPr>
      </xdr:nvSpPr>
      <xdr:spPr>
        <a:xfrm>
          <a:off x="704850" y="952500"/>
          <a:ext cx="342900" cy="171450"/>
        </a:xfrm>
        <a:prstGeom prst="rect">
          <a:avLst/>
        </a:prstGeom>
        <a:noFill/>
        <a:ln w="9525" cmpd="sng">
          <a:noFill/>
        </a:ln>
      </xdr:spPr>
      <xdr:txBody>
        <a:bodyPr vertOverflow="clip" wrap="square"/>
        <a:p>
          <a:pPr algn="l">
            <a:defRPr/>
          </a:pPr>
          <a:fld id="{fc966576-8634-498c-b545-50e200b8758f}" type="TxLink">
            <a:rPr lang="en-US" cap="none" u="none" baseline="0">
              <a:latin typeface="Arial"/>
              <a:ea typeface="Arial"/>
              <a:cs typeface="Arial"/>
            </a:rPr>
            <a:t/>
          </a:fld>
        </a:p>
      </xdr:txBody>
    </xdr:sp>
    <xdr:clientData/>
  </xdr:oneCellAnchor>
  <xdr:oneCellAnchor>
    <xdr:from>
      <xdr:col>2</xdr:col>
      <xdr:colOff>371475</xdr:colOff>
      <xdr:row>5</xdr:row>
      <xdr:rowOff>47625</xdr:rowOff>
    </xdr:from>
    <xdr:ext cx="371475" cy="171450"/>
    <xdr:sp textlink="Design!$H$12">
      <xdr:nvSpPr>
        <xdr:cNvPr id="6" name="TextBox 12"/>
        <xdr:cNvSpPr txBox="1">
          <a:spLocks noChangeArrowheads="1"/>
        </xdr:cNvSpPr>
      </xdr:nvSpPr>
      <xdr:spPr>
        <a:xfrm>
          <a:off x="1590675" y="952500"/>
          <a:ext cx="371475" cy="171450"/>
        </a:xfrm>
        <a:prstGeom prst="rect">
          <a:avLst/>
        </a:prstGeom>
        <a:noFill/>
        <a:ln w="9525" cmpd="sng">
          <a:noFill/>
        </a:ln>
      </xdr:spPr>
      <xdr:txBody>
        <a:bodyPr vertOverflow="clip" wrap="square"/>
        <a:p>
          <a:pPr algn="l">
            <a:defRPr/>
          </a:pPr>
          <a:fld id="{84fc059f-785a-4006-9a6e-422e2b9bd842}" type="TxLink">
            <a:rPr lang="en-US" cap="none" u="none" baseline="0">
              <a:latin typeface="Arial"/>
              <a:ea typeface="Arial"/>
              <a:cs typeface="Arial"/>
            </a:rPr>
            <a:t/>
          </a:fld>
        </a:p>
      </xdr:txBody>
    </xdr:sp>
    <xdr:clientData/>
  </xdr:oneCellAnchor>
  <xdr:oneCellAnchor>
    <xdr:from>
      <xdr:col>3</xdr:col>
      <xdr:colOff>742950</xdr:colOff>
      <xdr:row>5</xdr:row>
      <xdr:rowOff>47625</xdr:rowOff>
    </xdr:from>
    <xdr:ext cx="304800" cy="171450"/>
    <xdr:sp textlink="Design!$K$12">
      <xdr:nvSpPr>
        <xdr:cNvPr id="7" name="TextBox 13"/>
        <xdr:cNvSpPr txBox="1">
          <a:spLocks noChangeArrowheads="1"/>
        </xdr:cNvSpPr>
      </xdr:nvSpPr>
      <xdr:spPr>
        <a:xfrm>
          <a:off x="2571750" y="952500"/>
          <a:ext cx="304800" cy="171450"/>
        </a:xfrm>
        <a:prstGeom prst="rect">
          <a:avLst/>
        </a:prstGeom>
        <a:noFill/>
        <a:ln w="9525" cmpd="sng">
          <a:noFill/>
        </a:ln>
      </xdr:spPr>
      <xdr:txBody>
        <a:bodyPr vertOverflow="clip" wrap="square"/>
        <a:p>
          <a:pPr algn="l">
            <a:defRPr/>
          </a:pPr>
          <a:fld id="{1a604c67-9323-4039-a3cd-ec87ee0b6971}" type="TxLink">
            <a:rPr lang="en-US" cap="none" u="none" baseline="0">
              <a:latin typeface="Arial"/>
              <a:ea typeface="Arial"/>
              <a:cs typeface="Arial"/>
            </a:rPr>
            <a:t/>
          </a:fld>
        </a:p>
      </xdr:txBody>
    </xdr:sp>
    <xdr:clientData/>
  </xdr:oneCellAnchor>
  <xdr:twoCellAnchor>
    <xdr:from>
      <xdr:col>1</xdr:col>
      <xdr:colOff>180975</xdr:colOff>
      <xdr:row>15</xdr:row>
      <xdr:rowOff>152400</xdr:rowOff>
    </xdr:from>
    <xdr:to>
      <xdr:col>2</xdr:col>
      <xdr:colOff>104775</xdr:colOff>
      <xdr:row>17</xdr:row>
      <xdr:rowOff>9525</xdr:rowOff>
    </xdr:to>
    <xdr:sp textlink="Design!Y23">
      <xdr:nvSpPr>
        <xdr:cNvPr id="8" name="TextBox 14"/>
        <xdr:cNvSpPr txBox="1">
          <a:spLocks noChangeArrowheads="1"/>
        </xdr:cNvSpPr>
      </xdr:nvSpPr>
      <xdr:spPr>
        <a:xfrm>
          <a:off x="790575" y="2695575"/>
          <a:ext cx="533400" cy="180975"/>
        </a:xfrm>
        <a:prstGeom prst="rect">
          <a:avLst/>
        </a:prstGeom>
        <a:solidFill>
          <a:srgbClr val="FFFF99"/>
        </a:solidFill>
        <a:ln w="9525" cmpd="sng">
          <a:solidFill>
            <a:srgbClr val="000000"/>
          </a:solidFill>
          <a:headEnd type="none"/>
          <a:tailEnd type="none"/>
        </a:ln>
      </xdr:spPr>
      <xdr:txBody>
        <a:bodyPr vertOverflow="clip" wrap="square"/>
        <a:p>
          <a:pPr algn="ctr">
            <a:defRPr/>
          </a:pPr>
          <a:fld id="{c56f86ed-18e4-4eeb-a649-075b21ba9664}" type="TxLink">
            <a:rPr lang="en-US" cap="none" sz="1000" b="0" i="0" u="none" baseline="0">
              <a:latin typeface="Arial"/>
              <a:ea typeface="Arial"/>
              <a:cs typeface="Arial"/>
            </a:rPr>
            <a:t>2 ft.</a:t>
          </a:fld>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57150</xdr:rowOff>
    </xdr:from>
    <xdr:to>
      <xdr:col>4</xdr:col>
      <xdr:colOff>381000</xdr:colOff>
      <xdr:row>19</xdr:row>
      <xdr:rowOff>114300</xdr:rowOff>
    </xdr:to>
    <xdr:sp>
      <xdr:nvSpPr>
        <xdr:cNvPr id="1" name="TextBox 2"/>
        <xdr:cNvSpPr txBox="1">
          <a:spLocks noChangeArrowheads="1"/>
        </xdr:cNvSpPr>
      </xdr:nvSpPr>
      <xdr:spPr>
        <a:xfrm>
          <a:off x="19050" y="381000"/>
          <a:ext cx="2800350" cy="2486025"/>
        </a:xfrm>
        <a:prstGeom prst="rect">
          <a:avLst/>
        </a:prstGeom>
        <a:noFill/>
        <a:ln w="9525" cmpd="sng">
          <a:noFill/>
        </a:ln>
      </xdr:spPr>
      <xdr:txBody>
        <a:bodyPr vertOverflow="clip" wrap="square"/>
        <a:p>
          <a:pPr algn="l">
            <a:defRPr/>
          </a:pPr>
          <a:r>
            <a:rPr lang="en-US" cap="none" sz="800" b="1" i="0" u="none" baseline="0">
              <a:latin typeface="Arial"/>
              <a:ea typeface="Arial"/>
              <a:cs typeface="Arial"/>
            </a:rPr>
            <a:t>General: </a:t>
          </a:r>
          <a:r>
            <a:rPr lang="en-US" cap="none" sz="800" b="0" i="0" u="none" baseline="0">
              <a:latin typeface="Arial"/>
              <a:ea typeface="Arial"/>
              <a:cs typeface="Arial"/>
            </a:rPr>
            <a:t> Construction operations shall be carried out in a manner and sequence so that erosion and air/water pollution are minimized and held within legal limits.
The completed job shall present a workmanlike appearance and shall conform to the line, grades, and elevations shown on the drawings or as staked in the field.
All operations shall be carried out in a safe and skillful manner.  Safety and health regulations shall be observed and appropriate safety measures used.  The contractor shall be assured that all state laws concerning buried utilities have been met.
All trees, stumps, roots, brush, weeds, and other objectionable materials shall be removed from the designated work area.</a:t>
          </a:r>
        </a:p>
      </xdr:txBody>
    </xdr:sp>
    <xdr:clientData/>
  </xdr:twoCellAnchor>
  <xdr:twoCellAnchor>
    <xdr:from>
      <xdr:col>0</xdr:col>
      <xdr:colOff>9525</xdr:colOff>
      <xdr:row>20</xdr:row>
      <xdr:rowOff>19050</xdr:rowOff>
    </xdr:from>
    <xdr:to>
      <xdr:col>4</xdr:col>
      <xdr:colOff>371475</xdr:colOff>
      <xdr:row>34</xdr:row>
      <xdr:rowOff>57150</xdr:rowOff>
    </xdr:to>
    <xdr:sp>
      <xdr:nvSpPr>
        <xdr:cNvPr id="2" name="TextBox 3"/>
        <xdr:cNvSpPr txBox="1">
          <a:spLocks noChangeArrowheads="1"/>
        </xdr:cNvSpPr>
      </xdr:nvSpPr>
      <xdr:spPr>
        <a:xfrm>
          <a:off x="9525" y="2914650"/>
          <a:ext cx="2800350" cy="209550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Materials: </a:t>
          </a:r>
          <a:r>
            <a:rPr lang="en-US" cap="none" sz="800" b="0" i="0" u="none" baseline="0">
              <a:latin typeface="Arial"/>
              <a:ea typeface="Arial"/>
              <a:cs typeface="Arial"/>
            </a:rPr>
            <a:t> Materials and fabrication shall be as specified on the drawings.  Plastic pipe 2" or less in diameter meeting ASTM specifications D1785, D2239, D2241, or AWWA C901 may be used.  Plastic pipe over 2" in diameter shall be polyvinyl chloride (PVC) 1120 or 1220, conforming to ASTM D1785 or D2241.  Other plastic pipe meeting TN-NRCS Conservation Practice Standard 516 (Pipeline) is acceptable.  The ASTM or AWWA designation shall be stamped on the pipe.  Steel pipe shall meet AWWA specification C200.
To ensure adequate strength, pipe with a minimum pressure rating of 150 psi shall be used when burying the pipe or working with systems that operate at over 50 psi.</a:t>
          </a:r>
        </a:p>
      </xdr:txBody>
    </xdr:sp>
    <xdr:clientData/>
  </xdr:twoCellAnchor>
  <xdr:twoCellAnchor>
    <xdr:from>
      <xdr:col>0</xdr:col>
      <xdr:colOff>0</xdr:colOff>
      <xdr:row>34</xdr:row>
      <xdr:rowOff>76200</xdr:rowOff>
    </xdr:from>
    <xdr:to>
      <xdr:col>4</xdr:col>
      <xdr:colOff>400050</xdr:colOff>
      <xdr:row>54</xdr:row>
      <xdr:rowOff>152400</xdr:rowOff>
    </xdr:to>
    <xdr:sp>
      <xdr:nvSpPr>
        <xdr:cNvPr id="3" name="TextBox 4"/>
        <xdr:cNvSpPr txBox="1">
          <a:spLocks noChangeArrowheads="1"/>
        </xdr:cNvSpPr>
      </xdr:nvSpPr>
      <xdr:spPr>
        <a:xfrm>
          <a:off x="0" y="5029200"/>
          <a:ext cx="2838450" cy="331470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Placement: </a:t>
          </a:r>
          <a:r>
            <a:rPr lang="en-US" cap="none" sz="800" b="0" i="0" u="none" baseline="0">
              <a:latin typeface="Arial"/>
              <a:ea typeface="Arial"/>
              <a:cs typeface="Arial"/>
            </a:rPr>
            <a:t> Placement of the pipeline shall be as shown on the plans or as staked.  The pipe shall be free of dirt and other materials before assembling.  Flexible plastic pipe shall be placed in a "snake-like" position in the trench to provide expansion and contraction with temperature change.
Other parts of the water system shall be installed and connected to the pipeline as specified.
Pipelines shall be placed so that they are protected against hazards imposed by traffic, farm operations, freezing temperatures, or soil cracking.  Minimum depth of burial shall be as shown on drawings.  Unless otherwise specified, plastic pipe shall be buried at least 24" for ordinary field traffic.  When crossing under a road, pipeline shall be buried deeper or protected from collapsing by placing in a steel or concrete conduit.
Other means of protection must be provided if the depth required for protection is impractical because of shallow soils over rock or for other reasons.  Abrupt changes in grade must be avoided to prevent damage to pipe.</a:t>
          </a:r>
        </a:p>
      </xdr:txBody>
    </xdr:sp>
    <xdr:clientData/>
  </xdr:twoCellAnchor>
  <xdr:twoCellAnchor>
    <xdr:from>
      <xdr:col>5</xdr:col>
      <xdr:colOff>19050</xdr:colOff>
      <xdr:row>16</xdr:row>
      <xdr:rowOff>47625</xdr:rowOff>
    </xdr:from>
    <xdr:to>
      <xdr:col>9</xdr:col>
      <xdr:colOff>523875</xdr:colOff>
      <xdr:row>31</xdr:row>
      <xdr:rowOff>66675</xdr:rowOff>
    </xdr:to>
    <xdr:sp>
      <xdr:nvSpPr>
        <xdr:cNvPr id="4" name="TextBox 5"/>
        <xdr:cNvSpPr txBox="1">
          <a:spLocks noChangeArrowheads="1"/>
        </xdr:cNvSpPr>
      </xdr:nvSpPr>
      <xdr:spPr>
        <a:xfrm>
          <a:off x="3067050" y="2371725"/>
          <a:ext cx="2943225" cy="2162175"/>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Testing: </a:t>
          </a:r>
          <a:r>
            <a:rPr lang="en-US" cap="none" sz="800" b="0" i="0" u="none" baseline="0">
              <a:latin typeface="Arial"/>
              <a:ea typeface="Arial"/>
              <a:cs typeface="Arial"/>
            </a:rPr>
            <a:t> Pipelines shall be pressure tested before backfilling by one of the following methods.
Method 1: The pipe shall be filled with water and tested at design working pressure or a minimum head of 10 feet (4.3 psi), whichever is greater.  All leaks shall be repaired and the test repeated.
Method 2: The pipe shall be filled with water and pressure tested at the working pressure for 2 hours.  The allowable leakabe shall not be greater than 1 gallon per diameter inch per mile.  If the test exceeds the allowable rate, the defect shall be repaired until retests show that the leakage is within the allowable lilmits, except that all visible leaks shall be repaired.</a:t>
          </a:r>
        </a:p>
      </xdr:txBody>
    </xdr:sp>
    <xdr:clientData/>
  </xdr:twoCellAnchor>
  <xdr:twoCellAnchor>
    <xdr:from>
      <xdr:col>5</xdr:col>
      <xdr:colOff>19050</xdr:colOff>
      <xdr:row>0</xdr:row>
      <xdr:rowOff>28575</xdr:rowOff>
    </xdr:from>
    <xdr:to>
      <xdr:col>9</xdr:col>
      <xdr:colOff>581025</xdr:colOff>
      <xdr:row>16</xdr:row>
      <xdr:rowOff>19050</xdr:rowOff>
    </xdr:to>
    <xdr:sp>
      <xdr:nvSpPr>
        <xdr:cNvPr id="5" name="TextBox 6"/>
        <xdr:cNvSpPr txBox="1">
          <a:spLocks noChangeArrowheads="1"/>
        </xdr:cNvSpPr>
      </xdr:nvSpPr>
      <xdr:spPr>
        <a:xfrm>
          <a:off x="3067050" y="28575"/>
          <a:ext cx="3000375" cy="23145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Pipelines shall be buried below frost line or otherwise protected from freezing.  If pipeline cannot be protected from freezing, the pipeline will be provided with valves properly located so the pipe can be drained during periods of freezing temperatures.
Trenches for plastic pipelines shall be free of rocks and other sharp-edged materials, and pipe shall be carefully placed to prevent damage.  Flexible plastic pipelines may be placed by plow-in equipment if soils are suitable and rocks and boulders will not damage the pipe material.
All PVC pipe connections designed to be glued will use PVC solvent cement.  Allow glue to cure according to manufacturer's guidelines prior to moving pipe and pressure testing.  Gluing shall not be done at temperatures below freezing.</a:t>
          </a:r>
        </a:p>
      </xdr:txBody>
    </xdr:sp>
    <xdr:clientData/>
  </xdr:twoCellAnchor>
  <xdr:twoCellAnchor>
    <xdr:from>
      <xdr:col>5</xdr:col>
      <xdr:colOff>38100</xdr:colOff>
      <xdr:row>31</xdr:row>
      <xdr:rowOff>19050</xdr:rowOff>
    </xdr:from>
    <xdr:to>
      <xdr:col>9</xdr:col>
      <xdr:colOff>514350</xdr:colOff>
      <xdr:row>43</xdr:row>
      <xdr:rowOff>114300</xdr:rowOff>
    </xdr:to>
    <xdr:sp>
      <xdr:nvSpPr>
        <xdr:cNvPr id="6" name="TextBox 7"/>
        <xdr:cNvSpPr txBox="1">
          <a:spLocks noChangeArrowheads="1"/>
        </xdr:cNvSpPr>
      </xdr:nvSpPr>
      <xdr:spPr>
        <a:xfrm>
          <a:off x="3086100" y="4486275"/>
          <a:ext cx="2914650" cy="203835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Backfilling: </a:t>
          </a:r>
          <a:r>
            <a:rPr lang="en-US" cap="none" sz="800" b="0" i="0" u="none" baseline="0">
              <a:latin typeface="Arial"/>
              <a:ea typeface="Arial"/>
              <a:cs typeface="Arial"/>
            </a:rPr>
            <a:t> All backfilling shall be completed before the line is placed in service.  For plastic or copper pipe, the initial backfill shall be of selected material that is free from rocks or other sharp-edged material that can damage the pipe.  Deformation or displacement of the pipe must not occur during backfilling.
Plastic pipelines installed by the plow-in method require surface compaction and shaping in addition to the normal plow-in operations.
Mound soil over pipe to allow for settlement.  Provisions shall be made for stabilizing disturbed areas and controlling erosion, as necessary.</a:t>
          </a:r>
        </a:p>
      </xdr:txBody>
    </xdr:sp>
    <xdr:clientData/>
  </xdr:twoCellAnchor>
  <xdr:twoCellAnchor>
    <xdr:from>
      <xdr:col>5</xdr:col>
      <xdr:colOff>47625</xdr:colOff>
      <xdr:row>43</xdr:row>
      <xdr:rowOff>142875</xdr:rowOff>
    </xdr:from>
    <xdr:to>
      <xdr:col>9</xdr:col>
      <xdr:colOff>514350</xdr:colOff>
      <xdr:row>47</xdr:row>
      <xdr:rowOff>142875</xdr:rowOff>
    </xdr:to>
    <xdr:sp>
      <xdr:nvSpPr>
        <xdr:cNvPr id="7" name="TextBox 8"/>
        <xdr:cNvSpPr txBox="1">
          <a:spLocks noChangeArrowheads="1"/>
        </xdr:cNvSpPr>
      </xdr:nvSpPr>
      <xdr:spPr>
        <a:xfrm>
          <a:off x="3095625" y="6553200"/>
          <a:ext cx="2905125" cy="64770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Vegetation: </a:t>
          </a:r>
          <a:r>
            <a:rPr lang="en-US" cap="none" sz="800" b="0" i="0" u="none" baseline="0">
              <a:latin typeface="Arial"/>
              <a:ea typeface="Arial"/>
              <a:cs typeface="Arial"/>
            </a:rPr>
            <a:t> Topsoil shall be added, if needed, to establish vegetation.  Refer to Critical Area Planting, NRCS Practice Code 342 or equivalent for seeding and mulching recommendations.</a:t>
          </a:r>
        </a:p>
      </xdr:txBody>
    </xdr:sp>
    <xdr:clientData/>
  </xdr:twoCellAnchor>
  <xdr:twoCellAnchor>
    <xdr:from>
      <xdr:col>5</xdr:col>
      <xdr:colOff>38100</xdr:colOff>
      <xdr:row>48</xdr:row>
      <xdr:rowOff>0</xdr:rowOff>
    </xdr:from>
    <xdr:to>
      <xdr:col>7</xdr:col>
      <xdr:colOff>590550</xdr:colOff>
      <xdr:row>57</xdr:row>
      <xdr:rowOff>76200</xdr:rowOff>
    </xdr:to>
    <xdr:sp>
      <xdr:nvSpPr>
        <xdr:cNvPr id="8" name="TextBox 13"/>
        <xdr:cNvSpPr txBox="1">
          <a:spLocks noChangeArrowheads="1"/>
        </xdr:cNvSpPr>
      </xdr:nvSpPr>
      <xdr:spPr>
        <a:xfrm>
          <a:off x="3086100" y="7219950"/>
          <a:ext cx="1771650" cy="1533525"/>
        </a:xfrm>
        <a:prstGeom prst="rect">
          <a:avLst/>
        </a:prstGeom>
        <a:noFill/>
        <a:ln w="9525" cmpd="sng">
          <a:noFill/>
        </a:ln>
      </xdr:spPr>
      <xdr:txBody>
        <a:bodyPr vertOverflow="clip" wrap="square"/>
        <a:p>
          <a:pPr algn="l">
            <a:defRPr/>
          </a:pPr>
          <a:r>
            <a:rPr lang="en-US" cap="none" sz="700" b="1" i="0" u="none" baseline="0">
              <a:latin typeface="Arial"/>
              <a:ea typeface="Arial"/>
              <a:cs typeface="Arial"/>
            </a:rPr>
            <a:t>Tennessee State Law Requires a 72 Hour (3 Working Days) Advance Notice Before You Dig!  No representation is made by the Natural Resources Conservation Service as to the existence or nonexistence of underground utilities.  Utilities can be notified by calling</a:t>
          </a:r>
        </a:p>
      </xdr:txBody>
    </xdr:sp>
    <xdr:clientData/>
  </xdr:twoCellAnchor>
  <xdr:twoCellAnchor>
    <xdr:from>
      <xdr:col>7</xdr:col>
      <xdr:colOff>581025</xdr:colOff>
      <xdr:row>49</xdr:row>
      <xdr:rowOff>76200</xdr:rowOff>
    </xdr:from>
    <xdr:to>
      <xdr:col>9</xdr:col>
      <xdr:colOff>542925</xdr:colOff>
      <xdr:row>54</xdr:row>
      <xdr:rowOff>142875</xdr:rowOff>
    </xdr:to>
    <xdr:pic>
      <xdr:nvPicPr>
        <xdr:cNvPr id="9" name="Picture 14">
          <a:hlinkClick r:id="rId3"/>
        </xdr:cNvPr>
        <xdr:cNvPicPr preferRelativeResize="1">
          <a:picLocks noChangeAspect="1"/>
        </xdr:cNvPicPr>
      </xdr:nvPicPr>
      <xdr:blipFill>
        <a:blip r:embed="rId1"/>
        <a:srcRect l="23591" r="26055" b="22557"/>
        <a:stretch>
          <a:fillRect/>
        </a:stretch>
      </xdr:blipFill>
      <xdr:spPr>
        <a:xfrm>
          <a:off x="4848225" y="7458075"/>
          <a:ext cx="1181100" cy="876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1028700</xdr:colOff>
      <xdr:row>3</xdr:row>
      <xdr:rowOff>38100</xdr:rowOff>
    </xdr:to>
    <xdr:grpSp>
      <xdr:nvGrpSpPr>
        <xdr:cNvPr id="1" name="Group 45"/>
        <xdr:cNvGrpSpPr>
          <a:grpSpLocks/>
        </xdr:cNvGrpSpPr>
      </xdr:nvGrpSpPr>
      <xdr:grpSpPr>
        <a:xfrm>
          <a:off x="0" y="0"/>
          <a:ext cx="2038350" cy="523875"/>
          <a:chOff x="0" y="0"/>
          <a:chExt cx="214" cy="55"/>
        </a:xfrm>
        <a:solidFill>
          <a:srgbClr val="FFFFFF"/>
        </a:solidFill>
      </xdr:grpSpPr>
      <xdr:grpSp>
        <xdr:nvGrpSpPr>
          <xdr:cNvPr id="2" name="Group 44"/>
          <xdr:cNvGrpSpPr>
            <a:grpSpLocks/>
          </xdr:cNvGrpSpPr>
        </xdr:nvGrpSpPr>
        <xdr:grpSpPr>
          <a:xfrm>
            <a:off x="1" y="18"/>
            <a:ext cx="165" cy="37"/>
            <a:chOff x="1" y="18"/>
            <a:chExt cx="165" cy="37"/>
          </a:xfrm>
          <a:solidFill>
            <a:srgbClr val="FFFFFF"/>
          </a:solidFill>
        </xdr:grpSpPr>
        <xdr:pic>
          <xdr:nvPicPr>
            <xdr:cNvPr id="3" name="Picture 42"/>
            <xdr:cNvPicPr preferRelativeResize="1">
              <a:picLocks noChangeAspect="1"/>
            </xdr:cNvPicPr>
          </xdr:nvPicPr>
          <xdr:blipFill>
            <a:blip r:embed="rId1"/>
            <a:stretch>
              <a:fillRect/>
            </a:stretch>
          </xdr:blipFill>
          <xdr:spPr>
            <a:xfrm>
              <a:off x="1" y="18"/>
              <a:ext cx="23" cy="32"/>
            </a:xfrm>
            <a:prstGeom prst="rect">
              <a:avLst/>
            </a:prstGeom>
            <a:noFill/>
            <a:ln w="9525" cmpd="sng">
              <a:noFill/>
            </a:ln>
          </xdr:spPr>
        </xdr:pic>
      </xdr:grpSp>
      <xdr:sp>
        <xdr:nvSpPr>
          <xdr:cNvPr id="5" name="TextBox 39"/>
          <xdr:cNvSpPr txBox="1">
            <a:spLocks noChangeArrowheads="1"/>
          </xdr:cNvSpPr>
        </xdr:nvSpPr>
        <xdr:spPr>
          <a:xfrm>
            <a:off x="0" y="0"/>
            <a:ext cx="214" cy="25"/>
          </a:xfrm>
          <a:prstGeom prst="rect">
            <a:avLst/>
          </a:prstGeom>
          <a:noFill/>
          <a:ln w="9525" cmpd="sng">
            <a:noFill/>
          </a:ln>
        </xdr:spPr>
        <xdr:txBody>
          <a:bodyPr vertOverflow="clip" wrap="square" lIns="91440" tIns="45720" rIns="91440" bIns="45720"/>
          <a:p>
            <a:pPr algn="l">
              <a:defRPr/>
            </a:pPr>
            <a:r>
              <a:rPr lang="en-US" cap="none" sz="600" b="1" i="0" u="none" baseline="0">
                <a:solidFill>
                  <a:srgbClr val="000080"/>
                </a:solidFill>
                <a:latin typeface="Arial"/>
                <a:ea typeface="Arial"/>
                <a:cs typeface="Arial"/>
              </a:rPr>
              <a:t>U.S DEPARTMENT OF AGRICULTURE</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25</xdr:row>
      <xdr:rowOff>104775</xdr:rowOff>
    </xdr:from>
    <xdr:to>
      <xdr:col>25</xdr:col>
      <xdr:colOff>0</xdr:colOff>
      <xdr:row>66</xdr:row>
      <xdr:rowOff>0</xdr:rowOff>
    </xdr:to>
    <xdr:graphicFrame>
      <xdr:nvGraphicFramePr>
        <xdr:cNvPr id="1" name="Chart 1"/>
        <xdr:cNvGraphicFramePr/>
      </xdr:nvGraphicFramePr>
      <xdr:xfrm>
        <a:off x="6877050" y="2047875"/>
        <a:ext cx="0" cy="6534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6.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3.vml" /><Relationship Id="rId3" Type="http://schemas.openxmlformats.org/officeDocument/2006/relationships/drawing" Target="../drawings/drawing8.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II70"/>
  <sheetViews>
    <sheetView showGridLines="0" tabSelected="1" zoomScale="80" zoomScaleNormal="80" workbookViewId="0" topLeftCell="A1">
      <selection activeCell="M5" sqref="M1:AA16384"/>
    </sheetView>
  </sheetViews>
  <sheetFormatPr defaultColWidth="9.140625" defaultRowHeight="12.75"/>
  <cols>
    <col min="2" max="2" width="9.8515625" style="0" customWidth="1"/>
    <col min="3" max="3" width="11.00390625" style="0" customWidth="1"/>
    <col min="4" max="4" width="5.8515625" style="0" customWidth="1"/>
    <col min="5" max="5" width="8.140625" style="0" customWidth="1"/>
    <col min="6" max="6" width="7.28125" style="0" customWidth="1"/>
    <col min="7" max="7" width="8.140625" style="0" customWidth="1"/>
    <col min="8" max="8" width="7.57421875" style="0" customWidth="1"/>
    <col min="9" max="9" width="5.57421875" style="0" customWidth="1"/>
    <col min="10" max="10" width="10.140625" style="0" customWidth="1"/>
    <col min="11" max="11" width="9.8515625" style="0" customWidth="1"/>
    <col min="12" max="12" width="12.421875" style="0" customWidth="1"/>
    <col min="13" max="27" width="12.421875" style="0" hidden="1" customWidth="1"/>
    <col min="28" max="28" width="12.421875" style="0" customWidth="1"/>
    <col min="29" max="29" width="6.57421875" style="0" customWidth="1"/>
    <col min="30" max="30" width="4.140625" style="0" customWidth="1"/>
    <col min="38" max="38" width="0" style="0" hidden="1" customWidth="1"/>
    <col min="243" max="243" width="10.140625" style="0" bestFit="1" customWidth="1"/>
  </cols>
  <sheetData>
    <row r="1" spans="14:243" ht="12.75">
      <c r="N1" s="77" t="s">
        <v>335</v>
      </c>
      <c r="O1" s="7"/>
      <c r="P1" s="7"/>
      <c r="Q1" s="7" t="s">
        <v>347</v>
      </c>
      <c r="R1" s="168"/>
      <c r="S1" s="40"/>
      <c r="II1" t="s">
        <v>396</v>
      </c>
    </row>
    <row r="2" spans="14:243" ht="12.75">
      <c r="N2" s="8" t="s">
        <v>336</v>
      </c>
      <c r="O2" s="9"/>
      <c r="P2" s="9"/>
      <c r="Q2" s="9">
        <f>IF(O19,0.04,0.1)</f>
        <v>0.1</v>
      </c>
      <c r="R2" s="175"/>
      <c r="AB2" s="9"/>
      <c r="AC2" s="9"/>
      <c r="II2" s="5">
        <v>38644</v>
      </c>
    </row>
    <row r="3" spans="14:29" ht="12.75">
      <c r="N3" s="8" t="s">
        <v>337</v>
      </c>
      <c r="O3" s="9"/>
      <c r="P3" s="9"/>
      <c r="Q3" s="9">
        <f>P17*C15*Q2</f>
        <v>0</v>
      </c>
      <c r="R3" s="175" t="s">
        <v>338</v>
      </c>
      <c r="S3" t="s">
        <v>354</v>
      </c>
      <c r="X3" t="s">
        <v>378</v>
      </c>
      <c r="AB3" s="9"/>
      <c r="AC3" s="9"/>
    </row>
    <row r="4" spans="14:29" ht="12.75">
      <c r="N4" s="249" t="s">
        <v>339</v>
      </c>
      <c r="O4" s="9"/>
      <c r="P4" s="9"/>
      <c r="Q4" s="256" t="e">
        <f>M11*C15*Q2</f>
        <v>#VALUE!</v>
      </c>
      <c r="R4" s="175" t="s">
        <v>338</v>
      </c>
      <c r="U4" s="4" t="s">
        <v>352</v>
      </c>
      <c r="V4">
        <f>30*C17</f>
        <v>0</v>
      </c>
      <c r="W4" t="s">
        <v>353</v>
      </c>
      <c r="X4" t="s">
        <v>377</v>
      </c>
      <c r="Z4" t="e">
        <f>C15/50*M11</f>
        <v>#VALUE!</v>
      </c>
      <c r="AB4" s="9"/>
      <c r="AC4" s="9"/>
    </row>
    <row r="5" spans="14:29" ht="12.75">
      <c r="N5" s="8" t="s">
        <v>340</v>
      </c>
      <c r="O5" s="9"/>
      <c r="P5" s="9"/>
      <c r="Q5" s="9" t="e">
        <f>Q4/Q3</f>
        <v>#VALUE!</v>
      </c>
      <c r="R5" s="175"/>
      <c r="U5" s="4" t="s">
        <v>380</v>
      </c>
      <c r="V5">
        <f>V4/720</f>
        <v>0</v>
      </c>
      <c r="W5" t="s">
        <v>87</v>
      </c>
      <c r="X5" t="s">
        <v>379</v>
      </c>
      <c r="Z5" t="e">
        <f>C15*M11/10</f>
        <v>#VALUE!</v>
      </c>
      <c r="AB5" s="9"/>
      <c r="AC5" s="9"/>
    </row>
    <row r="6" spans="14:29" ht="12.75">
      <c r="N6" s="8" t="s">
        <v>341</v>
      </c>
      <c r="O6" s="9"/>
      <c r="P6" s="9"/>
      <c r="Q6" s="9" t="e">
        <f>Q5/Q2</f>
        <v>#VALUE!</v>
      </c>
      <c r="R6" s="175"/>
      <c r="U6" s="4" t="s">
        <v>355</v>
      </c>
      <c r="V6" s="6" t="e">
        <f>IF($O$19,$P$17*$C$15/10,$H$15/120)</f>
        <v>#VALUE!</v>
      </c>
      <c r="W6" t="s">
        <v>87</v>
      </c>
      <c r="Y6" t="s">
        <v>382</v>
      </c>
      <c r="Z6" t="e">
        <f>IF(O19,Z4,Z5)</f>
        <v>#VALUE!</v>
      </c>
      <c r="AB6" s="9"/>
      <c r="AC6" s="9"/>
    </row>
    <row r="7" spans="1:29" ht="12.75">
      <c r="A7" s="2" t="s">
        <v>7</v>
      </c>
      <c r="D7" s="2" t="s">
        <v>407</v>
      </c>
      <c r="I7" s="2" t="s">
        <v>0</v>
      </c>
      <c r="N7" s="8" t="s">
        <v>342</v>
      </c>
      <c r="O7" s="9"/>
      <c r="P7" s="9"/>
      <c r="Q7" s="9" t="e">
        <f>IF(ISNUMBER(H16),H16/Q3,H15/Q3)</f>
        <v>#VALUE!</v>
      </c>
      <c r="R7" s="175"/>
      <c r="T7" t="s">
        <v>376</v>
      </c>
      <c r="X7" t="s">
        <v>381</v>
      </c>
      <c r="Z7">
        <f>IF(AND(ISNUMBER(H16),H16&gt;=H15),H16,H15)</f>
      </c>
      <c r="AB7" s="9"/>
      <c r="AC7" s="9"/>
    </row>
    <row r="8" spans="4:29" ht="12.75">
      <c r="D8" s="250" t="s">
        <v>408</v>
      </c>
      <c r="J8" s="1"/>
      <c r="N8" s="8" t="s">
        <v>343</v>
      </c>
      <c r="O8" s="9"/>
      <c r="P8" s="9"/>
      <c r="Q8" s="9" t="e">
        <f>Q6/Q7</f>
        <v>#VALUE!</v>
      </c>
      <c r="R8" s="175"/>
      <c r="V8" t="s">
        <v>83</v>
      </c>
      <c r="AB8" s="9"/>
      <c r="AC8" s="9"/>
    </row>
    <row r="9" spans="1:22" ht="12.75">
      <c r="A9" t="s">
        <v>105</v>
      </c>
      <c r="B9" s="281"/>
      <c r="C9" s="281"/>
      <c r="J9" s="1"/>
      <c r="N9" s="8" t="s">
        <v>344</v>
      </c>
      <c r="O9" s="9"/>
      <c r="P9" s="9"/>
      <c r="Q9" s="9" t="e">
        <f>12/Q8</f>
        <v>#VALUE!</v>
      </c>
      <c r="R9" s="175" t="s">
        <v>346</v>
      </c>
      <c r="V9" t="s">
        <v>82</v>
      </c>
    </row>
    <row r="10" spans="1:26" ht="12.75">
      <c r="A10" t="s">
        <v>1</v>
      </c>
      <c r="B10" s="281"/>
      <c r="C10" s="281"/>
      <c r="E10" t="s">
        <v>4</v>
      </c>
      <c r="G10" s="281"/>
      <c r="H10" s="281"/>
      <c r="J10" t="s">
        <v>6</v>
      </c>
      <c r="K10" s="5">
        <f ca="1">TODAY()</f>
        <v>38939</v>
      </c>
      <c r="N10" s="10" t="s">
        <v>345</v>
      </c>
      <c r="O10" s="11"/>
      <c r="P10" s="11"/>
      <c r="Q10" s="11" t="e">
        <f>IF(ISNUMBER(H16),H16/Q9/60,H15/Q9/60)</f>
        <v>#VALUE!</v>
      </c>
      <c r="R10" s="171" t="s">
        <v>87</v>
      </c>
      <c r="T10" t="s">
        <v>30</v>
      </c>
      <c r="V10" s="14" t="s">
        <v>81</v>
      </c>
      <c r="Y10" s="4" t="s">
        <v>383</v>
      </c>
      <c r="Z10" t="e">
        <f>Z7/Z6</f>
        <v>#VALUE!</v>
      </c>
    </row>
    <row r="11" spans="1:25" ht="12.75">
      <c r="A11" t="s">
        <v>2</v>
      </c>
      <c r="B11" s="283"/>
      <c r="C11" s="283"/>
      <c r="E11" t="s">
        <v>5</v>
      </c>
      <c r="G11" s="281"/>
      <c r="H11" s="281"/>
      <c r="J11" t="s">
        <v>6</v>
      </c>
      <c r="K11" s="262"/>
      <c r="M11" s="6">
        <f>IF(C15&gt;0,12*C17/C15,"")</f>
      </c>
      <c r="N11" t="s">
        <v>200</v>
      </c>
      <c r="S11" s="13" t="s">
        <v>31</v>
      </c>
      <c r="T11" t="s">
        <v>22</v>
      </c>
      <c r="U11" t="s">
        <v>23</v>
      </c>
      <c r="V11" s="57" t="s">
        <v>75</v>
      </c>
      <c r="Y11" t="s">
        <v>384</v>
      </c>
    </row>
    <row r="12" spans="1:22" ht="12.75">
      <c r="A12" t="s">
        <v>3</v>
      </c>
      <c r="B12" s="283"/>
      <c r="C12" s="283"/>
      <c r="E12" s="251"/>
      <c r="F12" s="252"/>
      <c r="G12" s="253"/>
      <c r="H12" s="252"/>
      <c r="J12" s="251"/>
      <c r="K12" s="252"/>
      <c r="S12" s="13">
        <v>1</v>
      </c>
      <c r="T12" t="s">
        <v>372</v>
      </c>
      <c r="U12">
        <v>0.824</v>
      </c>
      <c r="V12" s="57">
        <v>0.102417</v>
      </c>
    </row>
    <row r="13" spans="14:22" ht="13.5" thickBot="1">
      <c r="N13" s="67">
        <f>IF(O24=2,"Pump Run Time:","")</f>
      </c>
      <c r="O13" s="9"/>
      <c r="P13" s="36">
        <v>60</v>
      </c>
      <c r="Q13" s="79">
        <f>IF(O24=2,"%","")</f>
      </c>
      <c r="S13" s="13">
        <v>2</v>
      </c>
      <c r="T13" t="s">
        <v>373</v>
      </c>
      <c r="U13">
        <v>1.049</v>
      </c>
      <c r="V13" s="57">
        <v>0.07742142286263504</v>
      </c>
    </row>
    <row r="14" spans="1:22" ht="13.5" thickTop="1">
      <c r="A14" s="78" t="s">
        <v>174</v>
      </c>
      <c r="B14" s="65"/>
      <c r="C14" s="65"/>
      <c r="D14" s="65"/>
      <c r="E14" s="65"/>
      <c r="F14" s="65"/>
      <c r="G14" s="65"/>
      <c r="H14" s="65"/>
      <c r="I14" s="65"/>
      <c r="J14" s="65"/>
      <c r="K14" s="248" t="s">
        <v>329</v>
      </c>
      <c r="L14" s="66"/>
      <c r="S14" s="13">
        <v>3</v>
      </c>
      <c r="T14" t="s">
        <v>26</v>
      </c>
      <c r="U14">
        <v>1.38</v>
      </c>
      <c r="V14" s="57">
        <v>0.056508022660531766</v>
      </c>
    </row>
    <row r="15" spans="1:22" ht="12.75">
      <c r="A15" s="67" t="s">
        <v>10</v>
      </c>
      <c r="B15" s="9"/>
      <c r="C15" s="74"/>
      <c r="D15" s="68" t="s">
        <v>104</v>
      </c>
      <c r="E15" s="9"/>
      <c r="F15" s="181" t="s">
        <v>332</v>
      </c>
      <c r="G15" s="181" t="s">
        <v>334</v>
      </c>
      <c r="H15" s="12">
        <f>IF(C17&gt;0,ROUNDUP(IF(O19,C15/50*M11,C15*M11/10),0),"")</f>
      </c>
      <c r="I15" s="68" t="s">
        <v>330</v>
      </c>
      <c r="J15" s="9"/>
      <c r="K15" s="12">
        <f>IF(C17&gt;0,IF(O19,ROUNDUP(C15/25,0)*15,ROUNDUP(C15/10,0)*15),"")</f>
      </c>
      <c r="L15" s="79" t="s">
        <v>331</v>
      </c>
      <c r="O15" s="67" t="s">
        <v>164</v>
      </c>
      <c r="P15" s="9"/>
      <c r="Q15" s="83">
        <v>6</v>
      </c>
      <c r="R15" s="68" t="s">
        <v>165</v>
      </c>
      <c r="S15" s="13">
        <v>4</v>
      </c>
      <c r="T15" t="s">
        <v>27</v>
      </c>
      <c r="U15">
        <v>1.61</v>
      </c>
      <c r="V15" s="57">
        <v>0.0468366650480296</v>
      </c>
    </row>
    <row r="16" spans="1:22" ht="12.75">
      <c r="A16" s="67" t="s">
        <v>11</v>
      </c>
      <c r="B16" s="9"/>
      <c r="C16" s="74"/>
      <c r="D16" s="68" t="s">
        <v>8</v>
      </c>
      <c r="E16" s="9"/>
      <c r="F16" s="9"/>
      <c r="G16" s="9" t="s">
        <v>333</v>
      </c>
      <c r="H16" s="74"/>
      <c r="I16" s="68" t="s">
        <v>330</v>
      </c>
      <c r="J16" s="9"/>
      <c r="K16" s="9"/>
      <c r="L16" s="69"/>
      <c r="O16" s="9"/>
      <c r="P16" s="9"/>
      <c r="Q16" s="92"/>
      <c r="R16" s="68"/>
      <c r="S16" s="13">
        <v>5</v>
      </c>
      <c r="T16" t="s">
        <v>28</v>
      </c>
      <c r="U16">
        <v>2.067</v>
      </c>
      <c r="V16" s="57">
        <v>0.034792866028534424</v>
      </c>
    </row>
    <row r="17" spans="1:22" ht="12.75">
      <c r="A17" s="67" t="s">
        <v>9</v>
      </c>
      <c r="B17" s="9"/>
      <c r="C17" s="12">
        <f>C15*C16/1000</f>
        <v>0</v>
      </c>
      <c r="D17" s="68"/>
      <c r="E17" s="9"/>
      <c r="F17" s="9"/>
      <c r="G17" s="181" t="s">
        <v>12</v>
      </c>
      <c r="H17" s="107">
        <f>IF(C17&gt;0,IF(O22&lt;3,3,O22),"")</f>
      </c>
      <c r="I17" s="68" t="s">
        <v>201</v>
      </c>
      <c r="J17" s="9"/>
      <c r="K17" s="9"/>
      <c r="L17" s="69"/>
      <c r="O17" t="s">
        <v>314</v>
      </c>
      <c r="P17">
        <v>2</v>
      </c>
      <c r="Q17" t="s">
        <v>315</v>
      </c>
      <c r="S17" s="13">
        <v>6</v>
      </c>
      <c r="T17" t="s">
        <v>29</v>
      </c>
      <c r="U17">
        <v>2.469</v>
      </c>
      <c r="V17" s="58">
        <v>0.027723555614082598</v>
      </c>
    </row>
    <row r="18" spans="1:22" ht="13.5" thickBot="1">
      <c r="A18" s="110" t="s">
        <v>103</v>
      </c>
      <c r="B18" s="71"/>
      <c r="C18" s="71"/>
      <c r="D18" s="71"/>
      <c r="E18" s="71"/>
      <c r="F18" s="71"/>
      <c r="G18" s="247"/>
      <c r="H18" s="81"/>
      <c r="I18" s="72"/>
      <c r="J18" s="71"/>
      <c r="K18" s="71"/>
      <c r="L18" s="73"/>
      <c r="S18" s="13">
        <v>7</v>
      </c>
      <c r="T18" t="s">
        <v>55</v>
      </c>
      <c r="U18">
        <v>3.216</v>
      </c>
      <c r="V18">
        <v>0.02720911621125306</v>
      </c>
    </row>
    <row r="19" spans="1:16" ht="14.25" thickBot="1" thickTop="1">
      <c r="A19" s="264" t="s">
        <v>15</v>
      </c>
      <c r="B19" s="9"/>
      <c r="C19" s="175"/>
      <c r="G19" s="9"/>
      <c r="H19" s="9"/>
      <c r="O19" s="16" t="b">
        <v>0</v>
      </c>
      <c r="P19" t="s">
        <v>17</v>
      </c>
    </row>
    <row r="20" spans="1:26" ht="13.5" thickTop="1">
      <c r="A20" s="8"/>
      <c r="B20" s="9"/>
      <c r="C20" s="175"/>
      <c r="D20" s="8"/>
      <c r="F20" s="78" t="str">
        <f>IF(O24=4,"System Data:","Pump Data:")</f>
        <v>Pump Data:</v>
      </c>
      <c r="G20" s="65"/>
      <c r="H20" s="65"/>
      <c r="I20" s="66"/>
      <c r="O20" s="9"/>
      <c r="X20" s="13">
        <v>1</v>
      </c>
      <c r="Y20" s="210">
        <v>2</v>
      </c>
      <c r="Z20" s="211">
        <v>1</v>
      </c>
    </row>
    <row r="21" spans="1:28" ht="12.75">
      <c r="A21" s="8"/>
      <c r="B21" s="9"/>
      <c r="C21" s="175"/>
      <c r="D21" s="8"/>
      <c r="F21" s="67" t="str">
        <f>IF(O24=1,"N/A","Max. Pressure")</f>
        <v>N/A</v>
      </c>
      <c r="G21" s="9"/>
      <c r="H21" s="74"/>
      <c r="I21" s="79">
        <f>IF(O24=1,"","psi")</f>
      </c>
      <c r="X21" s="13">
        <v>2</v>
      </c>
      <c r="Y21" s="210">
        <v>3</v>
      </c>
      <c r="AB21" t="s">
        <v>289</v>
      </c>
    </row>
    <row r="22" spans="1:25" ht="12.75">
      <c r="A22" s="8"/>
      <c r="B22" s="9"/>
      <c r="C22" s="175"/>
      <c r="D22" s="8"/>
      <c r="F22" s="67" t="str">
        <f>IF(OR(O24=2,O24=4),"Min. Pressure:","N/A")</f>
        <v>N/A</v>
      </c>
      <c r="G22" s="9"/>
      <c r="H22" s="75"/>
      <c r="I22" s="79">
        <f>IF(O24=2,"psi","")</f>
      </c>
      <c r="O22" t="e">
        <f>IF(O19,$Q$2*$C$15*2,Q22)</f>
        <v>#VALUE!</v>
      </c>
      <c r="P22" t="s">
        <v>13</v>
      </c>
      <c r="Q22" s="261" t="e">
        <f>MAX((1/Z10)*V6,V5)</f>
        <v>#VALUE!</v>
      </c>
      <c r="S22" s="76">
        <f>IF(ISNUMBER(H17),H17,3)</f>
        <v>3</v>
      </c>
      <c r="T22" t="s">
        <v>106</v>
      </c>
      <c r="X22" s="13">
        <v>3</v>
      </c>
      <c r="Y22" s="210">
        <v>4</v>
      </c>
    </row>
    <row r="23" spans="1:25" ht="12.75">
      <c r="A23" s="10"/>
      <c r="B23" s="11"/>
      <c r="C23" s="171"/>
      <c r="D23" s="8"/>
      <c r="F23" s="67" t="str">
        <f>IF(O24=2,"Well Water Elev.:","N/A")</f>
        <v>N/A</v>
      </c>
      <c r="G23" s="9"/>
      <c r="H23" s="37"/>
      <c r="I23" s="79">
        <f>IF(O24=2,"ft.","")</f>
      </c>
      <c r="S23" s="33" t="e">
        <f>S26*T31/3960</f>
        <v>#N/A</v>
      </c>
      <c r="T23" t="s">
        <v>107</v>
      </c>
      <c r="Y23" s="210">
        <f>LOOKUP(Z20,X20:X22,Y20:Y22)</f>
        <v>2</v>
      </c>
    </row>
    <row r="24" spans="1:20" ht="12.75">
      <c r="A24" t="str">
        <f>IF(O24=2,"Pump Selected:","Actual Flow Desired:")</f>
        <v>Actual Flow Desired:</v>
      </c>
      <c r="C24" s="37"/>
      <c r="D24" s="2" t="str">
        <f>IF(O24=2,"horsepower (hp)","gpm")</f>
        <v>gpm</v>
      </c>
      <c r="F24" s="67" t="str">
        <f>IF(O24=2,"Pump Efficiency:","N/A")</f>
        <v>N/A</v>
      </c>
      <c r="G24" s="9"/>
      <c r="H24" s="36"/>
      <c r="I24" s="79">
        <f>IF(O24=2,"%","")</f>
      </c>
      <c r="O24" s="16">
        <v>1</v>
      </c>
      <c r="P24" t="s">
        <v>14</v>
      </c>
      <c r="S24" s="33" t="e">
        <f>IF(S26&gt;0,((H24/100)*3960*C24/(S26)),0)</f>
        <v>#N/A</v>
      </c>
      <c r="T24" t="s">
        <v>108</v>
      </c>
    </row>
    <row r="25" spans="1:20" ht="13.5" thickBot="1">
      <c r="A25" t="str">
        <f>IF(O24=2,"N/A",IF(O24=3,"Supply HGL Elevation","Supply Elevation:"))</f>
        <v>Supply Elevation:</v>
      </c>
      <c r="C25" s="37"/>
      <c r="D25" s="2" t="str">
        <f>IF(O24=2,"","ft.")</f>
        <v>ft.</v>
      </c>
      <c r="F25" s="70">
        <f>IF(O24=2,"Min. Pump Size:","")</f>
      </c>
      <c r="G25" s="71"/>
      <c r="H25" s="82">
        <f>IF(O24=2,IF(ISNUMBER(H24),S23/(H24/100),""),"")</f>
      </c>
      <c r="I25" s="80">
        <f>IF(O24=2,"hp","")</f>
      </c>
      <c r="O25" s="85">
        <f>ROUNDDOWN(MIN(A30:A70),-2)</f>
        <v>0</v>
      </c>
      <c r="P25" t="s">
        <v>112</v>
      </c>
      <c r="S25" s="33" t="e">
        <f>S26-ABS(B30-H23)+B30</f>
        <v>#N/A</v>
      </c>
      <c r="T25" t="s">
        <v>109</v>
      </c>
    </row>
    <row r="26" spans="1:20" ht="13.5" thickTop="1">
      <c r="A26" t="s">
        <v>96</v>
      </c>
      <c r="C26" s="26"/>
      <c r="D26" s="2" t="s">
        <v>102</v>
      </c>
      <c r="O26" s="85">
        <f>ROUNDUP(MAX(A30:A70),-2)</f>
        <v>0</v>
      </c>
      <c r="P26" t="s">
        <v>113</v>
      </c>
      <c r="S26" s="33" t="e">
        <f>H21*2.31+ABS(B30-(H23))+V14*W31^1.85</f>
        <v>#N/A</v>
      </c>
      <c r="T26" t="s">
        <v>110</v>
      </c>
    </row>
    <row r="27" spans="1:18" ht="12.75">
      <c r="A27" s="9">
        <f>IF(O24=2,"Actual Pump Flow:","")</f>
      </c>
      <c r="B27" s="9"/>
      <c r="C27" s="84">
        <f>IF(O24=2,IF(ISNUMBER(S24),S24,""),"")</f>
      </c>
      <c r="D27" s="68">
        <f>IF(O24=2,"gpm","")</f>
      </c>
      <c r="O27" s="88">
        <f>ROUNDDOWN(MIN(P30:P70),0)</f>
        <v>0</v>
      </c>
      <c r="P27" t="s">
        <v>114</v>
      </c>
      <c r="Q27" s="86"/>
      <c r="R27" s="86"/>
    </row>
    <row r="28" spans="1:26" ht="12.75">
      <c r="A28" s="27" t="s">
        <v>16</v>
      </c>
      <c r="B28" s="24" t="s">
        <v>18</v>
      </c>
      <c r="C28" s="282" t="s">
        <v>19</v>
      </c>
      <c r="D28" s="282"/>
      <c r="E28" s="24" t="s">
        <v>100</v>
      </c>
      <c r="F28" s="24" t="s">
        <v>37</v>
      </c>
      <c r="G28" s="27" t="s">
        <v>35</v>
      </c>
      <c r="H28" s="284" t="s">
        <v>84</v>
      </c>
      <c r="I28" s="285"/>
      <c r="J28" s="24" t="s">
        <v>36</v>
      </c>
      <c r="K28" s="24" t="s">
        <v>88</v>
      </c>
      <c r="L28" s="24" t="s">
        <v>99</v>
      </c>
      <c r="O28" s="88">
        <f>ROUNDUP(MAX(N30:N70),0)</f>
        <v>0</v>
      </c>
      <c r="P28" t="s">
        <v>115</v>
      </c>
      <c r="Z28" t="s">
        <v>93</v>
      </c>
    </row>
    <row r="29" spans="1:38" ht="13.5" thickBot="1">
      <c r="A29" s="35" t="s">
        <v>21</v>
      </c>
      <c r="B29" s="35" t="s">
        <v>21</v>
      </c>
      <c r="C29" s="64" t="s">
        <v>101</v>
      </c>
      <c r="D29" s="15" t="s">
        <v>20</v>
      </c>
      <c r="E29" s="25" t="s">
        <v>32</v>
      </c>
      <c r="F29" s="34" t="s">
        <v>21</v>
      </c>
      <c r="G29" s="28" t="s">
        <v>34</v>
      </c>
      <c r="H29" s="286" t="s">
        <v>85</v>
      </c>
      <c r="I29" s="287"/>
      <c r="J29" s="34" t="s">
        <v>21</v>
      </c>
      <c r="K29" s="25" t="s">
        <v>97</v>
      </c>
      <c r="L29" s="25" t="s">
        <v>98</v>
      </c>
      <c r="N29" t="s">
        <v>117</v>
      </c>
      <c r="O29" t="s">
        <v>111</v>
      </c>
      <c r="P29" t="s">
        <v>116</v>
      </c>
      <c r="R29" t="s">
        <v>99</v>
      </c>
      <c r="T29" t="s">
        <v>86</v>
      </c>
      <c r="V29" t="s">
        <v>88</v>
      </c>
      <c r="W29" t="s">
        <v>88</v>
      </c>
      <c r="X29" t="s">
        <v>91</v>
      </c>
      <c r="Z29" t="s">
        <v>94</v>
      </c>
      <c r="AA29" s="4" t="s">
        <v>95</v>
      </c>
      <c r="AL29" t="str">
        <f aca="true" t="shared" si="0" ref="AL29:AL50">O29</f>
        <v>pipe EL</v>
      </c>
    </row>
    <row r="30" spans="1:38" ht="15.75" customHeight="1" thickBot="1">
      <c r="A30" s="17"/>
      <c r="B30" s="20"/>
      <c r="C30" s="20"/>
      <c r="D30" s="22"/>
      <c r="E30" s="29"/>
      <c r="F30" s="20"/>
      <c r="G30" s="30"/>
      <c r="H30" s="288"/>
      <c r="I30" s="289"/>
      <c r="J30" s="32">
        <f>IF(OR(O24=2,O24=4),S25,C25)</f>
        <v>0</v>
      </c>
      <c r="K30" s="30"/>
      <c r="L30" s="63">
        <f aca="true" t="shared" si="1" ref="L30:L50">IF(ISNUMBER(AA30),IF(AA30&gt;0.72*$C$26,AA30,"OK"),"")</f>
      </c>
      <c r="N30" s="62">
        <f aca="true" t="shared" si="2" ref="N30:N41">IF(ISNUMBER(O30),MAX(O30,B30),"")</f>
      </c>
      <c r="O30" s="62" t="e">
        <f aca="true" t="shared" si="3" ref="O30:O41">IF(ISNUMBER(B30),B30-F30,NA())</f>
        <v>#N/A</v>
      </c>
      <c r="P30" s="87">
        <f aca="true" t="shared" si="4" ref="P30:P41">IF(ISNUMBER(O30),MIN(O30,B30),"")</f>
      </c>
      <c r="Q30" t="s">
        <v>31</v>
      </c>
      <c r="R30" t="s">
        <v>33</v>
      </c>
      <c r="T30" s="60" t="s">
        <v>87</v>
      </c>
      <c r="V30" t="s">
        <v>89</v>
      </c>
      <c r="W30" s="13" t="s">
        <v>90</v>
      </c>
      <c r="X30" t="s">
        <v>92</v>
      </c>
      <c r="Z30" s="62" t="e">
        <f aca="true" t="shared" si="5" ref="Z30:Z41">IF(ISNUMBER(B30),IF($O$24=1,$C$25-(B30-F30),$H$21*2.307+$B$30-$F$30-(B30-F30)),NA())</f>
        <v>#N/A</v>
      </c>
      <c r="AA30" t="e">
        <f>Z30*0.433</f>
        <v>#N/A</v>
      </c>
      <c r="AB30" s="201" t="s">
        <v>277</v>
      </c>
      <c r="AC30" s="162"/>
      <c r="AD30" s="202"/>
      <c r="AE30" s="203">
        <f>Design!$B$9</f>
        <v>0</v>
      </c>
      <c r="AL30" t="e">
        <f t="shared" si="0"/>
        <v>#N/A</v>
      </c>
    </row>
    <row r="31" spans="1:38" ht="15.75" customHeight="1" thickBot="1">
      <c r="A31" s="18"/>
      <c r="B31" s="21"/>
      <c r="C31" s="19"/>
      <c r="D31" s="23"/>
      <c r="F31" s="20"/>
      <c r="G31" s="31">
        <f aca="true" t="shared" si="6" ref="G31:G42">IF(AND(ISNUMBER(B31),ISNUMBER(B30),ISNUMBER(A31),ISNUMBER(A30)),ABS((B31-F31)-(B30-F30))/ABS(A31-A30)*100,"")</f>
      </c>
      <c r="H31" s="279"/>
      <c r="I31" s="280"/>
      <c r="J31" s="33">
        <f aca="true" t="shared" si="7" ref="J31:J42">IF(AND(ISNUMBER(A31),ISNUMBER(A30),ISNUMBER(J30),ISNUMBER(Q31)),J30-(ABS(A31-A30)+H31)/100*X31*V31^1.85,"")</f>
      </c>
      <c r="K31" s="31">
        <f aca="true" t="shared" si="8" ref="K31:K41">IF(AND(ISNUMBER(W31),ISNUMBER(A31)),IF(W31&gt;5,W31,"OK"),"")</f>
      </c>
      <c r="L31" s="31">
        <f t="shared" si="1"/>
      </c>
      <c r="N31" s="62">
        <f t="shared" si="2"/>
      </c>
      <c r="O31" s="62" t="e">
        <f t="shared" si="3"/>
        <v>#N/A</v>
      </c>
      <c r="P31" s="87">
        <f t="shared" si="4"/>
      </c>
      <c r="Q31" s="16"/>
      <c r="R31" s="61" t="e">
        <f aca="true" t="shared" si="9" ref="R31:R70">LOOKUP(Q31,$S$12:$S$17,$U$12:$U$17)</f>
        <v>#N/A</v>
      </c>
      <c r="T31" s="59">
        <f aca="true" t="shared" si="10" ref="T31:T41">T32+C31</f>
        <v>0</v>
      </c>
      <c r="V31" t="e">
        <f>T31/(PI()/4*R31^2)</f>
        <v>#N/A</v>
      </c>
      <c r="W31" t="e">
        <f>V31*231/12/60</f>
        <v>#N/A</v>
      </c>
      <c r="X31" s="13" t="e">
        <f aca="true" t="shared" si="11" ref="X31:X50">LOOKUP(Q31,$S$12:$S$17,$V$12:$V$17)</f>
        <v>#N/A</v>
      </c>
      <c r="Z31" s="62" t="e">
        <f t="shared" si="5"/>
        <v>#N/A</v>
      </c>
      <c r="AA31" t="e">
        <f aca="true" t="shared" si="12" ref="AA31:AA70">Z31*0.433</f>
        <v>#N/A</v>
      </c>
      <c r="AB31" s="166" t="s">
        <v>266</v>
      </c>
      <c r="AC31" s="167"/>
      <c r="AD31" s="204"/>
      <c r="AE31" s="205" t="s">
        <v>265</v>
      </c>
      <c r="AF31" s="9"/>
      <c r="AL31" t="e">
        <f t="shared" si="0"/>
        <v>#N/A</v>
      </c>
    </row>
    <row r="32" spans="1:38" ht="15.75" customHeight="1" thickBot="1">
      <c r="A32" s="18"/>
      <c r="B32" s="21"/>
      <c r="C32" s="19"/>
      <c r="D32" s="23"/>
      <c r="F32" s="20"/>
      <c r="G32" s="31">
        <f t="shared" si="6"/>
      </c>
      <c r="H32" s="279"/>
      <c r="I32" s="280"/>
      <c r="J32" s="33">
        <f t="shared" si="7"/>
      </c>
      <c r="K32" s="31">
        <f t="shared" si="8"/>
      </c>
      <c r="L32" s="31">
        <f t="shared" si="1"/>
      </c>
      <c r="N32" s="62">
        <f t="shared" si="2"/>
      </c>
      <c r="O32" s="62" t="e">
        <f t="shared" si="3"/>
        <v>#N/A</v>
      </c>
      <c r="P32" s="87">
        <f t="shared" si="4"/>
      </c>
      <c r="Q32" s="16"/>
      <c r="R32" s="61" t="e">
        <f t="shared" si="9"/>
        <v>#N/A</v>
      </c>
      <c r="T32" s="59">
        <f t="shared" si="10"/>
        <v>0</v>
      </c>
      <c r="V32" t="e">
        <f aca="true" t="shared" si="13" ref="V32:V50">T32/(PI()/4*R32^2)</f>
        <v>#N/A</v>
      </c>
      <c r="W32" t="e">
        <f aca="true" t="shared" si="14" ref="W32:W70">V32*231/12/60</f>
        <v>#N/A</v>
      </c>
      <c r="X32" s="13" t="e">
        <f t="shared" si="11"/>
        <v>#N/A</v>
      </c>
      <c r="Z32" s="62" t="e">
        <f t="shared" si="5"/>
        <v>#N/A</v>
      </c>
      <c r="AA32" t="e">
        <f t="shared" si="12"/>
        <v>#N/A</v>
      </c>
      <c r="AB32" s="169" t="s">
        <v>267</v>
      </c>
      <c r="AC32" s="170"/>
      <c r="AD32" s="10"/>
      <c r="AE32" s="206" t="s">
        <v>268</v>
      </c>
      <c r="AF32" s="9"/>
      <c r="AL32" t="e">
        <f t="shared" si="0"/>
        <v>#N/A</v>
      </c>
    </row>
    <row r="33" spans="1:38" ht="15.75" customHeight="1" thickBot="1">
      <c r="A33" s="18"/>
      <c r="B33" s="21"/>
      <c r="C33" s="19"/>
      <c r="D33" s="23"/>
      <c r="F33" s="20"/>
      <c r="G33" s="31">
        <f t="shared" si="6"/>
      </c>
      <c r="H33" s="279"/>
      <c r="I33" s="280"/>
      <c r="J33" s="33">
        <f t="shared" si="7"/>
      </c>
      <c r="K33" s="31">
        <f t="shared" si="8"/>
      </c>
      <c r="L33" s="31">
        <f t="shared" si="1"/>
      </c>
      <c r="N33" s="62">
        <f t="shared" si="2"/>
      </c>
      <c r="O33" s="62" t="e">
        <f t="shared" si="3"/>
        <v>#N/A</v>
      </c>
      <c r="P33" s="87">
        <f t="shared" si="4"/>
      </c>
      <c r="Q33" s="16"/>
      <c r="R33" s="61" t="e">
        <f t="shared" si="9"/>
        <v>#N/A</v>
      </c>
      <c r="T33" s="59">
        <f t="shared" si="10"/>
        <v>0</v>
      </c>
      <c r="V33" t="e">
        <f t="shared" si="13"/>
        <v>#N/A</v>
      </c>
      <c r="W33" t="e">
        <f t="shared" si="14"/>
        <v>#N/A</v>
      </c>
      <c r="X33" s="13" t="e">
        <f t="shared" si="11"/>
        <v>#N/A</v>
      </c>
      <c r="Z33" s="62" t="e">
        <f t="shared" si="5"/>
        <v>#N/A</v>
      </c>
      <c r="AA33" t="e">
        <f t="shared" si="12"/>
        <v>#N/A</v>
      </c>
      <c r="AB33" s="172">
        <f>QTYs!A5</f>
        <v>0</v>
      </c>
      <c r="AC33" s="7"/>
      <c r="AD33" s="204"/>
      <c r="AE33" s="207">
        <f>QTYs!C5</f>
      </c>
      <c r="AL33" t="e">
        <f t="shared" si="0"/>
        <v>#N/A</v>
      </c>
    </row>
    <row r="34" spans="1:38" ht="15.75" customHeight="1" thickBot="1">
      <c r="A34" s="18"/>
      <c r="B34" s="21"/>
      <c r="C34" s="19"/>
      <c r="D34" s="23"/>
      <c r="F34" s="20"/>
      <c r="G34" s="31">
        <f t="shared" si="6"/>
      </c>
      <c r="H34" s="279"/>
      <c r="I34" s="280"/>
      <c r="J34" s="33">
        <f t="shared" si="7"/>
      </c>
      <c r="K34" s="31">
        <f t="shared" si="8"/>
      </c>
      <c r="L34" s="31">
        <f t="shared" si="1"/>
      </c>
      <c r="N34" s="62">
        <f t="shared" si="2"/>
      </c>
      <c r="O34" s="62" t="e">
        <f t="shared" si="3"/>
        <v>#N/A</v>
      </c>
      <c r="P34" s="87">
        <f t="shared" si="4"/>
      </c>
      <c r="Q34" s="16"/>
      <c r="R34" s="61" t="e">
        <f t="shared" si="9"/>
        <v>#N/A</v>
      </c>
      <c r="T34" s="59">
        <f t="shared" si="10"/>
        <v>0</v>
      </c>
      <c r="V34" t="e">
        <f t="shared" si="13"/>
        <v>#N/A</v>
      </c>
      <c r="W34" t="e">
        <f t="shared" si="14"/>
        <v>#N/A</v>
      </c>
      <c r="X34" s="13" t="e">
        <f t="shared" si="11"/>
        <v>#N/A</v>
      </c>
      <c r="Z34" s="62" t="e">
        <f t="shared" si="5"/>
        <v>#N/A</v>
      </c>
      <c r="AA34" t="e">
        <f t="shared" si="12"/>
        <v>#N/A</v>
      </c>
      <c r="AB34" s="173">
        <f>QTYs!A6</f>
      </c>
      <c r="AC34" s="9"/>
      <c r="AD34" s="8"/>
      <c r="AE34" s="208">
        <f>QTYs!C6</f>
      </c>
      <c r="AL34" t="e">
        <f t="shared" si="0"/>
        <v>#N/A</v>
      </c>
    </row>
    <row r="35" spans="1:38" ht="15.75" customHeight="1" thickBot="1">
      <c r="A35" s="18"/>
      <c r="B35" s="21"/>
      <c r="C35" s="19"/>
      <c r="D35" s="23"/>
      <c r="F35" s="20"/>
      <c r="G35" s="31">
        <f t="shared" si="6"/>
      </c>
      <c r="H35" s="279"/>
      <c r="I35" s="280"/>
      <c r="J35" s="33">
        <f t="shared" si="7"/>
      </c>
      <c r="K35" s="31">
        <f t="shared" si="8"/>
      </c>
      <c r="L35" s="31">
        <f t="shared" si="1"/>
      </c>
      <c r="N35" s="62">
        <f t="shared" si="2"/>
      </c>
      <c r="O35" s="62" t="e">
        <f t="shared" si="3"/>
        <v>#N/A</v>
      </c>
      <c r="P35" s="87">
        <f t="shared" si="4"/>
      </c>
      <c r="Q35" s="16"/>
      <c r="R35" s="61" t="e">
        <f t="shared" si="9"/>
        <v>#N/A</v>
      </c>
      <c r="T35" s="59">
        <f t="shared" si="10"/>
        <v>0</v>
      </c>
      <c r="V35" t="e">
        <f t="shared" si="13"/>
        <v>#N/A</v>
      </c>
      <c r="W35" t="e">
        <f t="shared" si="14"/>
        <v>#N/A</v>
      </c>
      <c r="X35" s="13" t="e">
        <f t="shared" si="11"/>
        <v>#N/A</v>
      </c>
      <c r="Z35" s="62" t="e">
        <f t="shared" si="5"/>
        <v>#N/A</v>
      </c>
      <c r="AA35" t="e">
        <f t="shared" si="12"/>
        <v>#N/A</v>
      </c>
      <c r="AB35" s="173">
        <f>QTYs!A7</f>
      </c>
      <c r="AC35" s="9"/>
      <c r="AD35" s="8"/>
      <c r="AE35" s="208">
        <f>QTYs!C7</f>
      </c>
      <c r="AL35" t="e">
        <f t="shared" si="0"/>
        <v>#N/A</v>
      </c>
    </row>
    <row r="36" spans="1:38" ht="15.75" customHeight="1" thickBot="1">
      <c r="A36" s="18"/>
      <c r="B36" s="21"/>
      <c r="C36" s="19"/>
      <c r="D36" s="23"/>
      <c r="F36" s="20"/>
      <c r="G36" s="31">
        <f t="shared" si="6"/>
      </c>
      <c r="H36" s="279"/>
      <c r="I36" s="280"/>
      <c r="J36" s="33">
        <f t="shared" si="7"/>
      </c>
      <c r="K36" s="31">
        <f t="shared" si="8"/>
      </c>
      <c r="L36" s="31">
        <f t="shared" si="1"/>
      </c>
      <c r="N36" s="62">
        <f t="shared" si="2"/>
      </c>
      <c r="O36" s="62" t="e">
        <f t="shared" si="3"/>
        <v>#N/A</v>
      </c>
      <c r="P36" s="87">
        <f t="shared" si="4"/>
      </c>
      <c r="Q36" s="16"/>
      <c r="R36" s="61" t="e">
        <f t="shared" si="9"/>
        <v>#N/A</v>
      </c>
      <c r="T36" s="59">
        <f t="shared" si="10"/>
        <v>0</v>
      </c>
      <c r="V36" t="e">
        <f t="shared" si="13"/>
        <v>#N/A</v>
      </c>
      <c r="W36" t="e">
        <f t="shared" si="14"/>
        <v>#N/A</v>
      </c>
      <c r="X36" s="13" t="e">
        <f t="shared" si="11"/>
        <v>#N/A</v>
      </c>
      <c r="Z36" s="62" t="e">
        <f t="shared" si="5"/>
        <v>#N/A</v>
      </c>
      <c r="AA36" t="e">
        <f t="shared" si="12"/>
        <v>#N/A</v>
      </c>
      <c r="AB36" s="173">
        <f>QTYs!A8</f>
      </c>
      <c r="AC36" s="9"/>
      <c r="AD36" s="8"/>
      <c r="AE36" s="208">
        <f>QTYs!C8</f>
      </c>
      <c r="AL36" t="e">
        <f t="shared" si="0"/>
        <v>#N/A</v>
      </c>
    </row>
    <row r="37" spans="1:38" ht="15.75" customHeight="1" thickBot="1">
      <c r="A37" s="18"/>
      <c r="B37" s="21"/>
      <c r="C37" s="19"/>
      <c r="D37" s="23"/>
      <c r="F37" s="20"/>
      <c r="G37" s="31">
        <f t="shared" si="6"/>
      </c>
      <c r="H37" s="279"/>
      <c r="I37" s="280"/>
      <c r="J37" s="33">
        <f t="shared" si="7"/>
      </c>
      <c r="K37" s="31">
        <f t="shared" si="8"/>
      </c>
      <c r="L37" s="31">
        <f t="shared" si="1"/>
      </c>
      <c r="N37" s="62">
        <f t="shared" si="2"/>
      </c>
      <c r="O37" s="62" t="e">
        <f t="shared" si="3"/>
        <v>#N/A</v>
      </c>
      <c r="P37" s="87">
        <f t="shared" si="4"/>
      </c>
      <c r="Q37" s="16"/>
      <c r="R37" s="61" t="e">
        <f t="shared" si="9"/>
        <v>#N/A</v>
      </c>
      <c r="T37" s="59">
        <f t="shared" si="10"/>
        <v>0</v>
      </c>
      <c r="V37" t="e">
        <f t="shared" si="13"/>
        <v>#N/A</v>
      </c>
      <c r="W37" t="e">
        <f t="shared" si="14"/>
        <v>#N/A</v>
      </c>
      <c r="X37" s="13" t="e">
        <f t="shared" si="11"/>
        <v>#N/A</v>
      </c>
      <c r="Z37" s="62" t="e">
        <f t="shared" si="5"/>
        <v>#N/A</v>
      </c>
      <c r="AA37" t="e">
        <f t="shared" si="12"/>
        <v>#N/A</v>
      </c>
      <c r="AB37" s="173">
        <f>QTYs!A9</f>
      </c>
      <c r="AC37" s="9"/>
      <c r="AD37" s="8"/>
      <c r="AE37" s="208">
        <f>QTYs!C9</f>
      </c>
      <c r="AL37" t="e">
        <f t="shared" si="0"/>
        <v>#N/A</v>
      </c>
    </row>
    <row r="38" spans="1:38" ht="15.75" customHeight="1" thickBot="1">
      <c r="A38" s="18"/>
      <c r="B38" s="21"/>
      <c r="C38" s="19"/>
      <c r="D38" s="23"/>
      <c r="F38" s="20"/>
      <c r="G38" s="31">
        <f t="shared" si="6"/>
      </c>
      <c r="H38" s="279"/>
      <c r="I38" s="280"/>
      <c r="J38" s="33">
        <f t="shared" si="7"/>
      </c>
      <c r="K38" s="31">
        <f t="shared" si="8"/>
      </c>
      <c r="L38" s="31">
        <f t="shared" si="1"/>
      </c>
      <c r="N38" s="62">
        <f t="shared" si="2"/>
      </c>
      <c r="O38" s="62" t="e">
        <f t="shared" si="3"/>
        <v>#N/A</v>
      </c>
      <c r="P38" s="87">
        <f t="shared" si="4"/>
      </c>
      <c r="Q38" s="16"/>
      <c r="R38" s="61" t="e">
        <f t="shared" si="9"/>
        <v>#N/A</v>
      </c>
      <c r="T38" s="59">
        <f t="shared" si="10"/>
        <v>0</v>
      </c>
      <c r="V38" t="e">
        <f t="shared" si="13"/>
        <v>#N/A</v>
      </c>
      <c r="W38" t="e">
        <f t="shared" si="14"/>
        <v>#N/A</v>
      </c>
      <c r="X38" s="13" t="e">
        <f t="shared" si="11"/>
        <v>#N/A</v>
      </c>
      <c r="Z38" s="62" t="e">
        <f t="shared" si="5"/>
        <v>#N/A</v>
      </c>
      <c r="AA38" t="e">
        <f t="shared" si="12"/>
        <v>#N/A</v>
      </c>
      <c r="AB38" s="173">
        <f>QTYs!A10</f>
      </c>
      <c r="AC38" s="9"/>
      <c r="AD38" s="8"/>
      <c r="AE38" s="208">
        <f>QTYs!C10</f>
      </c>
      <c r="AL38" t="e">
        <f t="shared" si="0"/>
        <v>#N/A</v>
      </c>
    </row>
    <row r="39" spans="1:38" ht="15.75" customHeight="1" thickBot="1">
      <c r="A39" s="18"/>
      <c r="B39" s="21"/>
      <c r="C39" s="19"/>
      <c r="D39" s="23"/>
      <c r="F39" s="20"/>
      <c r="G39" s="31">
        <f t="shared" si="6"/>
      </c>
      <c r="H39" s="279"/>
      <c r="I39" s="280"/>
      <c r="J39" s="33">
        <f t="shared" si="7"/>
      </c>
      <c r="K39" s="31">
        <f t="shared" si="8"/>
      </c>
      <c r="L39" s="31">
        <f t="shared" si="1"/>
      </c>
      <c r="N39" s="62">
        <f t="shared" si="2"/>
      </c>
      <c r="O39" s="62" t="e">
        <f t="shared" si="3"/>
        <v>#N/A</v>
      </c>
      <c r="P39" s="87">
        <f t="shared" si="4"/>
      </c>
      <c r="Q39" s="16"/>
      <c r="R39" s="61" t="e">
        <f t="shared" si="9"/>
        <v>#N/A</v>
      </c>
      <c r="T39" s="59">
        <f t="shared" si="10"/>
        <v>0</v>
      </c>
      <c r="V39" t="e">
        <f t="shared" si="13"/>
        <v>#N/A</v>
      </c>
      <c r="W39" t="e">
        <f t="shared" si="14"/>
        <v>#N/A</v>
      </c>
      <c r="X39" s="13" t="e">
        <f t="shared" si="11"/>
        <v>#N/A</v>
      </c>
      <c r="Z39" s="62" t="e">
        <f t="shared" si="5"/>
        <v>#N/A</v>
      </c>
      <c r="AA39" t="e">
        <f t="shared" si="12"/>
        <v>#N/A</v>
      </c>
      <c r="AB39" s="176">
        <f>QTYs!A11</f>
      </c>
      <c r="AC39" s="11"/>
      <c r="AD39" s="10"/>
      <c r="AE39" s="209">
        <f>QTYs!C11</f>
      </c>
      <c r="AL39" t="e">
        <f t="shared" si="0"/>
        <v>#N/A</v>
      </c>
    </row>
    <row r="40" spans="1:38" ht="15.75" customHeight="1" thickBot="1">
      <c r="A40" s="18"/>
      <c r="B40" s="21"/>
      <c r="C40" s="19"/>
      <c r="D40" s="23"/>
      <c r="F40" s="20"/>
      <c r="G40" s="31">
        <f t="shared" si="6"/>
      </c>
      <c r="H40" s="279"/>
      <c r="I40" s="280"/>
      <c r="J40" s="33">
        <f t="shared" si="7"/>
      </c>
      <c r="K40" s="31">
        <f t="shared" si="8"/>
      </c>
      <c r="L40" s="31">
        <f t="shared" si="1"/>
      </c>
      <c r="N40" s="62">
        <f t="shared" si="2"/>
      </c>
      <c r="O40" s="62" t="e">
        <f t="shared" si="3"/>
        <v>#N/A</v>
      </c>
      <c r="P40" s="87">
        <f t="shared" si="4"/>
      </c>
      <c r="Q40" s="16"/>
      <c r="R40" s="61" t="e">
        <f t="shared" si="9"/>
        <v>#N/A</v>
      </c>
      <c r="T40" s="59">
        <f t="shared" si="10"/>
        <v>0</v>
      </c>
      <c r="V40" t="e">
        <f t="shared" si="13"/>
        <v>#N/A</v>
      </c>
      <c r="W40" t="e">
        <f t="shared" si="14"/>
        <v>#N/A</v>
      </c>
      <c r="X40" s="13" t="e">
        <f t="shared" si="11"/>
        <v>#N/A</v>
      </c>
      <c r="Z40" s="62" t="e">
        <f t="shared" si="5"/>
        <v>#N/A</v>
      </c>
      <c r="AA40" t="e">
        <f t="shared" si="12"/>
        <v>#N/A</v>
      </c>
      <c r="AL40" t="e">
        <f t="shared" si="0"/>
        <v>#N/A</v>
      </c>
    </row>
    <row r="41" spans="1:38" ht="15.75" customHeight="1" thickBot="1">
      <c r="A41" s="18"/>
      <c r="B41" s="21"/>
      <c r="C41" s="19"/>
      <c r="D41" s="23"/>
      <c r="F41" s="20"/>
      <c r="G41" s="31">
        <f t="shared" si="6"/>
      </c>
      <c r="H41" s="279"/>
      <c r="I41" s="280"/>
      <c r="J41" s="33">
        <f t="shared" si="7"/>
      </c>
      <c r="K41" s="31">
        <f t="shared" si="8"/>
      </c>
      <c r="L41" s="31">
        <f t="shared" si="1"/>
      </c>
      <c r="N41" s="62">
        <f t="shared" si="2"/>
      </c>
      <c r="O41" s="62" t="e">
        <f t="shared" si="3"/>
        <v>#N/A</v>
      </c>
      <c r="P41" s="87">
        <f t="shared" si="4"/>
      </c>
      <c r="Q41" s="16"/>
      <c r="R41" s="61" t="e">
        <f t="shared" si="9"/>
        <v>#N/A</v>
      </c>
      <c r="T41" s="59">
        <f t="shared" si="10"/>
        <v>0</v>
      </c>
      <c r="V41" t="e">
        <f t="shared" si="13"/>
        <v>#N/A</v>
      </c>
      <c r="W41" t="e">
        <f t="shared" si="14"/>
        <v>#N/A</v>
      </c>
      <c r="X41" s="13" t="e">
        <f t="shared" si="11"/>
        <v>#N/A</v>
      </c>
      <c r="Z41" s="62" t="e">
        <f t="shared" si="5"/>
        <v>#N/A</v>
      </c>
      <c r="AA41" t="e">
        <f t="shared" si="12"/>
        <v>#N/A</v>
      </c>
      <c r="AL41" t="e">
        <f t="shared" si="0"/>
        <v>#N/A</v>
      </c>
    </row>
    <row r="42" spans="1:38" ht="15.75" customHeight="1" thickBot="1">
      <c r="A42" s="18"/>
      <c r="B42" s="21"/>
      <c r="C42" s="21"/>
      <c r="D42" s="23"/>
      <c r="F42" s="20"/>
      <c r="G42" s="31">
        <f t="shared" si="6"/>
      </c>
      <c r="H42" s="279"/>
      <c r="I42" s="280"/>
      <c r="J42" s="33">
        <f t="shared" si="7"/>
      </c>
      <c r="K42" s="31">
        <f aca="true" t="shared" si="15" ref="K42:K70">IF(AND(ISNUMBER(W42),ISNUMBER(A42)),IF(W42&gt;5,W42,"OK"),"")</f>
      </c>
      <c r="L42" s="31">
        <f t="shared" si="1"/>
      </c>
      <c r="N42" s="62">
        <f aca="true" t="shared" si="16" ref="N42:N50">IF(ISNUMBER(O42),MAX(O42,B42),"")</f>
      </c>
      <c r="O42" s="62" t="e">
        <f aca="true" t="shared" si="17" ref="O42:O50">IF(ISNUMBER(B42),B42-F42,NA())</f>
        <v>#N/A</v>
      </c>
      <c r="P42" s="87">
        <f aca="true" t="shared" si="18" ref="P42:P50">IF(ISNUMBER(O42),MIN(O42,B42),"")</f>
      </c>
      <c r="Q42" s="16"/>
      <c r="R42" s="61" t="e">
        <f t="shared" si="9"/>
        <v>#N/A</v>
      </c>
      <c r="T42" s="59">
        <f aca="true" t="shared" si="19" ref="T42:T69">T43+C42</f>
        <v>0</v>
      </c>
      <c r="V42" t="e">
        <f t="shared" si="13"/>
        <v>#N/A</v>
      </c>
      <c r="W42" t="e">
        <f t="shared" si="14"/>
        <v>#N/A</v>
      </c>
      <c r="X42" s="13" t="e">
        <f t="shared" si="11"/>
        <v>#N/A</v>
      </c>
      <c r="Z42" s="62" t="e">
        <f aca="true" t="shared" si="20" ref="Z42:Z50">IF(ISNUMBER(B42),IF($O$24=1,$C$25-(B42-F42),$H$21*2.307+$B$30-$F$30-(B42-F42)),NA())</f>
        <v>#N/A</v>
      </c>
      <c r="AA42" t="e">
        <f t="shared" si="12"/>
        <v>#N/A</v>
      </c>
      <c r="AL42" t="e">
        <f t="shared" si="0"/>
        <v>#N/A</v>
      </c>
    </row>
    <row r="43" spans="1:38" ht="15.75" customHeight="1" thickBot="1">
      <c r="A43" s="18"/>
      <c r="B43" s="21"/>
      <c r="C43" s="21"/>
      <c r="D43" s="23"/>
      <c r="F43" s="20"/>
      <c r="G43" s="31">
        <f aca="true" t="shared" si="21" ref="G43:G50">IF(AND(ISNUMBER(B43),ISNUMBER(B42),ISNUMBER(A43),ISNUMBER(A42)),ABS((B43-F43)-(B42-F42))/ABS(A43-A42)*100,"")</f>
      </c>
      <c r="H43" s="279"/>
      <c r="I43" s="280"/>
      <c r="J43" s="33">
        <f aca="true" t="shared" si="22" ref="J43:J50">IF(AND(ISNUMBER(A43),ISNUMBER(A42),ISNUMBER(J42),ISNUMBER(Q43)),J42-(ABS(A43-A42)+H43)/100*X43*V43^1.85,"")</f>
      </c>
      <c r="K43" s="31">
        <f t="shared" si="15"/>
      </c>
      <c r="L43" s="31">
        <f t="shared" si="1"/>
      </c>
      <c r="N43" s="62">
        <f t="shared" si="16"/>
      </c>
      <c r="O43" s="62" t="e">
        <f t="shared" si="17"/>
        <v>#N/A</v>
      </c>
      <c r="P43" s="87">
        <f t="shared" si="18"/>
      </c>
      <c r="Q43" s="16"/>
      <c r="R43" s="61" t="e">
        <f t="shared" si="9"/>
        <v>#N/A</v>
      </c>
      <c r="T43" s="59">
        <f t="shared" si="19"/>
        <v>0</v>
      </c>
      <c r="V43" t="e">
        <f t="shared" si="13"/>
        <v>#N/A</v>
      </c>
      <c r="W43" t="e">
        <f t="shared" si="14"/>
        <v>#N/A</v>
      </c>
      <c r="X43" s="13" t="e">
        <f t="shared" si="11"/>
        <v>#N/A</v>
      </c>
      <c r="Z43" s="62" t="e">
        <f t="shared" si="20"/>
        <v>#N/A</v>
      </c>
      <c r="AA43" t="e">
        <f t="shared" si="12"/>
        <v>#N/A</v>
      </c>
      <c r="AL43" t="e">
        <f t="shared" si="0"/>
        <v>#N/A</v>
      </c>
    </row>
    <row r="44" spans="1:38" ht="15.75" customHeight="1" thickBot="1">
      <c r="A44" s="18"/>
      <c r="B44" s="21"/>
      <c r="C44" s="21"/>
      <c r="D44" s="23"/>
      <c r="F44" s="20"/>
      <c r="G44" s="31">
        <f t="shared" si="21"/>
      </c>
      <c r="H44" s="279"/>
      <c r="I44" s="280"/>
      <c r="J44" s="33">
        <f t="shared" si="22"/>
      </c>
      <c r="K44" s="31">
        <f t="shared" si="15"/>
      </c>
      <c r="L44" s="31">
        <f t="shared" si="1"/>
      </c>
      <c r="N44" s="62">
        <f t="shared" si="16"/>
      </c>
      <c r="O44" s="62" t="e">
        <f t="shared" si="17"/>
        <v>#N/A</v>
      </c>
      <c r="P44" s="87">
        <f t="shared" si="18"/>
      </c>
      <c r="Q44" s="16"/>
      <c r="R44" s="61" t="e">
        <f t="shared" si="9"/>
        <v>#N/A</v>
      </c>
      <c r="T44" s="59">
        <f t="shared" si="19"/>
        <v>0</v>
      </c>
      <c r="V44" t="e">
        <f t="shared" si="13"/>
        <v>#N/A</v>
      </c>
      <c r="W44" t="e">
        <f t="shared" si="14"/>
        <v>#N/A</v>
      </c>
      <c r="X44" s="13" t="e">
        <f t="shared" si="11"/>
        <v>#N/A</v>
      </c>
      <c r="Z44" s="62" t="e">
        <f t="shared" si="20"/>
        <v>#N/A</v>
      </c>
      <c r="AA44" t="e">
        <f t="shared" si="12"/>
        <v>#N/A</v>
      </c>
      <c r="AL44" t="e">
        <f t="shared" si="0"/>
        <v>#N/A</v>
      </c>
    </row>
    <row r="45" spans="1:38" ht="15.75" customHeight="1" thickBot="1">
      <c r="A45" s="18"/>
      <c r="B45" s="21"/>
      <c r="C45" s="21"/>
      <c r="D45" s="23"/>
      <c r="F45" s="20"/>
      <c r="G45" s="31">
        <f t="shared" si="21"/>
      </c>
      <c r="H45" s="279"/>
      <c r="I45" s="280"/>
      <c r="J45" s="33">
        <f t="shared" si="22"/>
      </c>
      <c r="K45" s="31">
        <f t="shared" si="15"/>
      </c>
      <c r="L45" s="31">
        <f t="shared" si="1"/>
      </c>
      <c r="N45" s="62">
        <f t="shared" si="16"/>
      </c>
      <c r="O45" s="62" t="e">
        <f t="shared" si="17"/>
        <v>#N/A</v>
      </c>
      <c r="P45" s="87">
        <f t="shared" si="18"/>
      </c>
      <c r="Q45" s="16"/>
      <c r="R45" s="61" t="e">
        <f t="shared" si="9"/>
        <v>#N/A</v>
      </c>
      <c r="T45" s="59">
        <f t="shared" si="19"/>
        <v>0</v>
      </c>
      <c r="V45" t="e">
        <f t="shared" si="13"/>
        <v>#N/A</v>
      </c>
      <c r="W45" t="e">
        <f t="shared" si="14"/>
        <v>#N/A</v>
      </c>
      <c r="X45" s="13" t="e">
        <f t="shared" si="11"/>
        <v>#N/A</v>
      </c>
      <c r="Z45" s="62" t="e">
        <f t="shared" si="20"/>
        <v>#N/A</v>
      </c>
      <c r="AA45" t="e">
        <f t="shared" si="12"/>
        <v>#N/A</v>
      </c>
      <c r="AL45" t="e">
        <f t="shared" si="0"/>
        <v>#N/A</v>
      </c>
    </row>
    <row r="46" spans="1:38" ht="15.75" customHeight="1" thickBot="1">
      <c r="A46" s="18"/>
      <c r="B46" s="21"/>
      <c r="C46" s="21"/>
      <c r="D46" s="23"/>
      <c r="F46" s="20"/>
      <c r="G46" s="31">
        <f t="shared" si="21"/>
      </c>
      <c r="H46" s="279"/>
      <c r="I46" s="280"/>
      <c r="J46" s="33">
        <f t="shared" si="22"/>
      </c>
      <c r="K46" s="31">
        <f t="shared" si="15"/>
      </c>
      <c r="L46" s="31">
        <f t="shared" si="1"/>
      </c>
      <c r="N46" s="62">
        <f t="shared" si="16"/>
      </c>
      <c r="O46" s="62" t="e">
        <f t="shared" si="17"/>
        <v>#N/A</v>
      </c>
      <c r="P46" s="87">
        <f t="shared" si="18"/>
      </c>
      <c r="Q46" s="16"/>
      <c r="R46" s="61" t="e">
        <f t="shared" si="9"/>
        <v>#N/A</v>
      </c>
      <c r="T46" s="59">
        <f t="shared" si="19"/>
        <v>0</v>
      </c>
      <c r="V46" t="e">
        <f t="shared" si="13"/>
        <v>#N/A</v>
      </c>
      <c r="W46" t="e">
        <f t="shared" si="14"/>
        <v>#N/A</v>
      </c>
      <c r="X46" s="13" t="e">
        <f t="shared" si="11"/>
        <v>#N/A</v>
      </c>
      <c r="Z46" s="62" t="e">
        <f t="shared" si="20"/>
        <v>#N/A</v>
      </c>
      <c r="AA46" t="e">
        <f t="shared" si="12"/>
        <v>#N/A</v>
      </c>
      <c r="AL46" t="e">
        <f t="shared" si="0"/>
        <v>#N/A</v>
      </c>
    </row>
    <row r="47" spans="1:38" ht="15.75" customHeight="1" thickBot="1">
      <c r="A47" s="18"/>
      <c r="B47" s="21"/>
      <c r="C47" s="21"/>
      <c r="D47" s="23"/>
      <c r="F47" s="20"/>
      <c r="G47" s="31">
        <f t="shared" si="21"/>
      </c>
      <c r="H47" s="279"/>
      <c r="I47" s="280"/>
      <c r="J47" s="33">
        <f t="shared" si="22"/>
      </c>
      <c r="K47" s="31">
        <f t="shared" si="15"/>
      </c>
      <c r="L47" s="31">
        <f t="shared" si="1"/>
      </c>
      <c r="N47" s="62">
        <f t="shared" si="16"/>
      </c>
      <c r="O47" s="62" t="e">
        <f t="shared" si="17"/>
        <v>#N/A</v>
      </c>
      <c r="P47" s="87">
        <f t="shared" si="18"/>
      </c>
      <c r="Q47" s="16"/>
      <c r="R47" s="61" t="e">
        <f t="shared" si="9"/>
        <v>#N/A</v>
      </c>
      <c r="T47" s="59">
        <f t="shared" si="19"/>
        <v>0</v>
      </c>
      <c r="V47" t="e">
        <f t="shared" si="13"/>
        <v>#N/A</v>
      </c>
      <c r="W47" t="e">
        <f t="shared" si="14"/>
        <v>#N/A</v>
      </c>
      <c r="X47" s="13" t="e">
        <f t="shared" si="11"/>
        <v>#N/A</v>
      </c>
      <c r="Z47" s="62" t="e">
        <f t="shared" si="20"/>
        <v>#N/A</v>
      </c>
      <c r="AA47" t="e">
        <f t="shared" si="12"/>
        <v>#N/A</v>
      </c>
      <c r="AL47" t="e">
        <f t="shared" si="0"/>
        <v>#N/A</v>
      </c>
    </row>
    <row r="48" spans="1:38" ht="15.75" customHeight="1" thickBot="1">
      <c r="A48" s="18"/>
      <c r="B48" s="21"/>
      <c r="C48" s="21"/>
      <c r="D48" s="23"/>
      <c r="F48" s="20"/>
      <c r="G48" s="31">
        <f t="shared" si="21"/>
      </c>
      <c r="H48" s="279"/>
      <c r="I48" s="280"/>
      <c r="J48" s="33">
        <f t="shared" si="22"/>
      </c>
      <c r="K48" s="31">
        <f t="shared" si="15"/>
      </c>
      <c r="L48" s="31">
        <f t="shared" si="1"/>
      </c>
      <c r="N48" s="62">
        <f t="shared" si="16"/>
      </c>
      <c r="O48" s="62" t="e">
        <f t="shared" si="17"/>
        <v>#N/A</v>
      </c>
      <c r="P48" s="87">
        <f t="shared" si="18"/>
      </c>
      <c r="Q48" s="16"/>
      <c r="R48" s="61" t="e">
        <f t="shared" si="9"/>
        <v>#N/A</v>
      </c>
      <c r="T48" s="59">
        <f t="shared" si="19"/>
        <v>0</v>
      </c>
      <c r="V48" t="e">
        <f t="shared" si="13"/>
        <v>#N/A</v>
      </c>
      <c r="W48" t="e">
        <f t="shared" si="14"/>
        <v>#N/A</v>
      </c>
      <c r="X48" s="13" t="e">
        <f t="shared" si="11"/>
        <v>#N/A</v>
      </c>
      <c r="Z48" s="62" t="e">
        <f t="shared" si="20"/>
        <v>#N/A</v>
      </c>
      <c r="AA48" t="e">
        <f t="shared" si="12"/>
        <v>#N/A</v>
      </c>
      <c r="AL48" t="e">
        <f t="shared" si="0"/>
        <v>#N/A</v>
      </c>
    </row>
    <row r="49" spans="1:38" ht="15.75" customHeight="1" thickBot="1">
      <c r="A49" s="18"/>
      <c r="B49" s="21"/>
      <c r="C49" s="21"/>
      <c r="D49" s="23"/>
      <c r="F49" s="20"/>
      <c r="G49" s="31">
        <f t="shared" si="21"/>
      </c>
      <c r="H49" s="279"/>
      <c r="I49" s="280"/>
      <c r="J49" s="33">
        <f t="shared" si="22"/>
      </c>
      <c r="K49" s="31">
        <f t="shared" si="15"/>
      </c>
      <c r="L49" s="31">
        <f t="shared" si="1"/>
      </c>
      <c r="N49" s="62">
        <f t="shared" si="16"/>
      </c>
      <c r="O49" s="62" t="e">
        <f t="shared" si="17"/>
        <v>#N/A</v>
      </c>
      <c r="P49" s="87">
        <f t="shared" si="18"/>
      </c>
      <c r="Q49" s="16"/>
      <c r="R49" s="61" t="e">
        <f t="shared" si="9"/>
        <v>#N/A</v>
      </c>
      <c r="T49" s="59">
        <f t="shared" si="19"/>
        <v>0</v>
      </c>
      <c r="V49" t="e">
        <f t="shared" si="13"/>
        <v>#N/A</v>
      </c>
      <c r="W49" t="e">
        <f t="shared" si="14"/>
        <v>#N/A</v>
      </c>
      <c r="X49" s="13" t="e">
        <f t="shared" si="11"/>
        <v>#N/A</v>
      </c>
      <c r="Z49" s="62" t="e">
        <f t="shared" si="20"/>
        <v>#N/A</v>
      </c>
      <c r="AA49" t="e">
        <f t="shared" si="12"/>
        <v>#N/A</v>
      </c>
      <c r="AL49" t="e">
        <f t="shared" si="0"/>
        <v>#N/A</v>
      </c>
    </row>
    <row r="50" spans="1:38" ht="15.75" customHeight="1" thickBot="1">
      <c r="A50" s="18"/>
      <c r="B50" s="21"/>
      <c r="C50" s="21"/>
      <c r="D50" s="23"/>
      <c r="F50" s="20"/>
      <c r="G50" s="31">
        <f t="shared" si="21"/>
      </c>
      <c r="H50" s="279"/>
      <c r="I50" s="280"/>
      <c r="J50" s="33">
        <f t="shared" si="22"/>
      </c>
      <c r="K50" s="31">
        <f t="shared" si="15"/>
      </c>
      <c r="L50" s="31">
        <f t="shared" si="1"/>
      </c>
      <c r="N50" s="62">
        <f t="shared" si="16"/>
      </c>
      <c r="O50" s="62" t="e">
        <f t="shared" si="17"/>
        <v>#N/A</v>
      </c>
      <c r="P50" s="87">
        <f t="shared" si="18"/>
      </c>
      <c r="Q50" s="16"/>
      <c r="R50" s="61" t="e">
        <f t="shared" si="9"/>
        <v>#N/A</v>
      </c>
      <c r="T50" s="59">
        <f t="shared" si="19"/>
        <v>0</v>
      </c>
      <c r="V50" t="e">
        <f t="shared" si="13"/>
        <v>#N/A</v>
      </c>
      <c r="W50" t="e">
        <f t="shared" si="14"/>
        <v>#N/A</v>
      </c>
      <c r="X50" s="13" t="e">
        <f t="shared" si="11"/>
        <v>#N/A</v>
      </c>
      <c r="Z50" s="62" t="e">
        <f t="shared" si="20"/>
        <v>#N/A</v>
      </c>
      <c r="AA50" t="e">
        <f t="shared" si="12"/>
        <v>#N/A</v>
      </c>
      <c r="AL50" t="e">
        <f t="shared" si="0"/>
        <v>#N/A</v>
      </c>
    </row>
    <row r="51" spans="1:38" ht="15.75" customHeight="1" thickBot="1">
      <c r="A51" s="18"/>
      <c r="B51" s="21"/>
      <c r="C51" s="21"/>
      <c r="D51" s="23"/>
      <c r="F51" s="20"/>
      <c r="G51" s="31">
        <f aca="true" t="shared" si="23" ref="G51:G70">IF(AND(ISNUMBER(B51),ISNUMBER(B50),ISNUMBER(A51),ISNUMBER(A50)),ABS((B51-F51)-(B50-F50))/ABS(A51-A50)*100,"")</f>
      </c>
      <c r="H51" s="279"/>
      <c r="I51" s="280"/>
      <c r="J51" s="33">
        <f aca="true" t="shared" si="24" ref="J51:J70">IF(AND(ISNUMBER(A51),ISNUMBER(A50),ISNUMBER(J50),ISNUMBER(Q51)),J50-(ABS(A51-A50)+H51)/100*X51*V51^1.85,"")</f>
      </c>
      <c r="K51" s="31">
        <f t="shared" si="15"/>
      </c>
      <c r="L51" s="31">
        <f aca="true" t="shared" si="25" ref="L51:L70">IF(ISNUMBER(AA51),IF(AA51&gt;0.72*$C$26,AA51,"OK"),"")</f>
      </c>
      <c r="N51" s="62">
        <f aca="true" t="shared" si="26" ref="N51:N70">IF(ISNUMBER(O51),MAX(O51,B51),"")</f>
      </c>
      <c r="O51" s="62" t="e">
        <f aca="true" t="shared" si="27" ref="O51:O70">IF(ISNUMBER(B51),B51-F51,NA())</f>
        <v>#N/A</v>
      </c>
      <c r="P51" s="87">
        <f aca="true" t="shared" si="28" ref="P51:P70">IF(ISNUMBER(O51),MIN(O51,B51),"")</f>
      </c>
      <c r="Q51" s="16"/>
      <c r="R51" s="61" t="e">
        <f t="shared" si="9"/>
        <v>#N/A</v>
      </c>
      <c r="T51" s="59">
        <f t="shared" si="19"/>
        <v>0</v>
      </c>
      <c r="V51" t="e">
        <f aca="true" t="shared" si="29" ref="V51:V70">T51/(PI()/4*R51^2)</f>
        <v>#N/A</v>
      </c>
      <c r="W51" t="e">
        <f t="shared" si="14"/>
        <v>#N/A</v>
      </c>
      <c r="X51" s="13" t="e">
        <f aca="true" t="shared" si="30" ref="X51:X70">LOOKUP(Q51,$S$12:$S$17,$V$12:$V$17)</f>
        <v>#N/A</v>
      </c>
      <c r="Z51" s="62" t="e">
        <f aca="true" t="shared" si="31" ref="Z51:Z70">IF(ISNUMBER(B51),IF($O$24=1,$C$25-(B51-F51),$H$21*2.307+$B$30-$F$30-(B51-F51)),NA())</f>
        <v>#N/A</v>
      </c>
      <c r="AA51" t="e">
        <f t="shared" si="12"/>
        <v>#N/A</v>
      </c>
      <c r="AL51" t="e">
        <f aca="true" t="shared" si="32" ref="AL51:AL70">O51</f>
        <v>#N/A</v>
      </c>
    </row>
    <row r="52" spans="1:38" ht="15.75" customHeight="1" thickBot="1">
      <c r="A52" s="18"/>
      <c r="B52" s="21"/>
      <c r="C52" s="21"/>
      <c r="D52" s="23"/>
      <c r="F52" s="20"/>
      <c r="G52" s="31">
        <f t="shared" si="23"/>
      </c>
      <c r="H52" s="279"/>
      <c r="I52" s="280"/>
      <c r="J52" s="33">
        <f t="shared" si="24"/>
      </c>
      <c r="K52" s="31">
        <f t="shared" si="15"/>
      </c>
      <c r="L52" s="31">
        <f t="shared" si="25"/>
      </c>
      <c r="N52" s="62">
        <f t="shared" si="26"/>
      </c>
      <c r="O52" s="62" t="e">
        <f t="shared" si="27"/>
        <v>#N/A</v>
      </c>
      <c r="P52" s="87">
        <f t="shared" si="28"/>
      </c>
      <c r="Q52" s="16"/>
      <c r="R52" s="61" t="e">
        <f t="shared" si="9"/>
        <v>#N/A</v>
      </c>
      <c r="T52" s="59">
        <f t="shared" si="19"/>
        <v>0</v>
      </c>
      <c r="V52" t="e">
        <f t="shared" si="29"/>
        <v>#N/A</v>
      </c>
      <c r="W52" t="e">
        <f t="shared" si="14"/>
        <v>#N/A</v>
      </c>
      <c r="X52" s="13" t="e">
        <f t="shared" si="30"/>
        <v>#N/A</v>
      </c>
      <c r="Z52" s="62" t="e">
        <f t="shared" si="31"/>
        <v>#N/A</v>
      </c>
      <c r="AA52" t="e">
        <f t="shared" si="12"/>
        <v>#N/A</v>
      </c>
      <c r="AL52" t="e">
        <f t="shared" si="32"/>
        <v>#N/A</v>
      </c>
    </row>
    <row r="53" spans="1:38" ht="15.75" customHeight="1" thickBot="1">
      <c r="A53" s="18"/>
      <c r="B53" s="21"/>
      <c r="C53" s="21"/>
      <c r="D53" s="23"/>
      <c r="F53" s="20"/>
      <c r="G53" s="31">
        <f t="shared" si="23"/>
      </c>
      <c r="H53" s="279"/>
      <c r="I53" s="280"/>
      <c r="J53" s="33">
        <f t="shared" si="24"/>
      </c>
      <c r="K53" s="31">
        <f t="shared" si="15"/>
      </c>
      <c r="L53" s="31">
        <f t="shared" si="25"/>
      </c>
      <c r="N53" s="62">
        <f t="shared" si="26"/>
      </c>
      <c r="O53" s="62" t="e">
        <f t="shared" si="27"/>
        <v>#N/A</v>
      </c>
      <c r="P53" s="87">
        <f t="shared" si="28"/>
      </c>
      <c r="Q53" s="16"/>
      <c r="R53" s="61" t="e">
        <f t="shared" si="9"/>
        <v>#N/A</v>
      </c>
      <c r="T53" s="59">
        <f t="shared" si="19"/>
        <v>0</v>
      </c>
      <c r="V53" t="e">
        <f t="shared" si="29"/>
        <v>#N/A</v>
      </c>
      <c r="W53" t="e">
        <f t="shared" si="14"/>
        <v>#N/A</v>
      </c>
      <c r="X53" s="13" t="e">
        <f t="shared" si="30"/>
        <v>#N/A</v>
      </c>
      <c r="Z53" s="62" t="e">
        <f t="shared" si="31"/>
        <v>#N/A</v>
      </c>
      <c r="AA53" t="e">
        <f t="shared" si="12"/>
        <v>#N/A</v>
      </c>
      <c r="AL53" t="e">
        <f t="shared" si="32"/>
        <v>#N/A</v>
      </c>
    </row>
    <row r="54" spans="1:38" ht="15.75" customHeight="1" thickBot="1">
      <c r="A54" s="18"/>
      <c r="B54" s="21"/>
      <c r="C54" s="21"/>
      <c r="D54" s="23"/>
      <c r="F54" s="20"/>
      <c r="G54" s="31">
        <f t="shared" si="23"/>
      </c>
      <c r="H54" s="279"/>
      <c r="I54" s="280"/>
      <c r="J54" s="33">
        <f t="shared" si="24"/>
      </c>
      <c r="K54" s="31">
        <f t="shared" si="15"/>
      </c>
      <c r="L54" s="31">
        <f t="shared" si="25"/>
      </c>
      <c r="N54" s="62">
        <f t="shared" si="26"/>
      </c>
      <c r="O54" s="62" t="e">
        <f t="shared" si="27"/>
        <v>#N/A</v>
      </c>
      <c r="P54" s="87">
        <f t="shared" si="28"/>
      </c>
      <c r="Q54" s="16"/>
      <c r="R54" s="61" t="e">
        <f t="shared" si="9"/>
        <v>#N/A</v>
      </c>
      <c r="T54" s="59">
        <f t="shared" si="19"/>
        <v>0</v>
      </c>
      <c r="V54" t="e">
        <f t="shared" si="29"/>
        <v>#N/A</v>
      </c>
      <c r="W54" t="e">
        <f t="shared" si="14"/>
        <v>#N/A</v>
      </c>
      <c r="X54" s="13" t="e">
        <f t="shared" si="30"/>
        <v>#N/A</v>
      </c>
      <c r="Z54" s="62" t="e">
        <f t="shared" si="31"/>
        <v>#N/A</v>
      </c>
      <c r="AA54" t="e">
        <f t="shared" si="12"/>
        <v>#N/A</v>
      </c>
      <c r="AL54" t="e">
        <f t="shared" si="32"/>
        <v>#N/A</v>
      </c>
    </row>
    <row r="55" spans="1:38" ht="15.75" customHeight="1" thickBot="1">
      <c r="A55" s="18"/>
      <c r="B55" s="21"/>
      <c r="C55" s="21"/>
      <c r="D55" s="23"/>
      <c r="F55" s="20"/>
      <c r="G55" s="31">
        <f t="shared" si="23"/>
      </c>
      <c r="H55" s="279"/>
      <c r="I55" s="280"/>
      <c r="J55" s="33">
        <f t="shared" si="24"/>
      </c>
      <c r="K55" s="31">
        <f t="shared" si="15"/>
      </c>
      <c r="L55" s="31">
        <f t="shared" si="25"/>
      </c>
      <c r="N55" s="62">
        <f t="shared" si="26"/>
      </c>
      <c r="O55" s="62" t="e">
        <f t="shared" si="27"/>
        <v>#N/A</v>
      </c>
      <c r="P55" s="87">
        <f t="shared" si="28"/>
      </c>
      <c r="Q55" s="16"/>
      <c r="R55" s="61" t="e">
        <f t="shared" si="9"/>
        <v>#N/A</v>
      </c>
      <c r="T55" s="59">
        <f t="shared" si="19"/>
        <v>0</v>
      </c>
      <c r="V55" t="e">
        <f t="shared" si="29"/>
        <v>#N/A</v>
      </c>
      <c r="W55" t="e">
        <f t="shared" si="14"/>
        <v>#N/A</v>
      </c>
      <c r="X55" s="13" t="e">
        <f t="shared" si="30"/>
        <v>#N/A</v>
      </c>
      <c r="Z55" s="62" t="e">
        <f t="shared" si="31"/>
        <v>#N/A</v>
      </c>
      <c r="AA55" t="e">
        <f t="shared" si="12"/>
        <v>#N/A</v>
      </c>
      <c r="AL55" t="e">
        <f t="shared" si="32"/>
        <v>#N/A</v>
      </c>
    </row>
    <row r="56" spans="1:38" ht="15.75" customHeight="1" thickBot="1">
      <c r="A56" s="18"/>
      <c r="B56" s="21"/>
      <c r="C56" s="21"/>
      <c r="D56" s="23"/>
      <c r="F56" s="20"/>
      <c r="G56" s="31">
        <f t="shared" si="23"/>
      </c>
      <c r="H56" s="279"/>
      <c r="I56" s="280"/>
      <c r="J56" s="33">
        <f t="shared" si="24"/>
      </c>
      <c r="K56" s="31">
        <f t="shared" si="15"/>
      </c>
      <c r="L56" s="31">
        <f t="shared" si="25"/>
      </c>
      <c r="N56" s="62">
        <f t="shared" si="26"/>
      </c>
      <c r="O56" s="62" t="e">
        <f t="shared" si="27"/>
        <v>#N/A</v>
      </c>
      <c r="P56" s="87">
        <f t="shared" si="28"/>
      </c>
      <c r="Q56" s="16"/>
      <c r="R56" s="61" t="e">
        <f t="shared" si="9"/>
        <v>#N/A</v>
      </c>
      <c r="T56" s="59">
        <f t="shared" si="19"/>
        <v>0</v>
      </c>
      <c r="V56" t="e">
        <f t="shared" si="29"/>
        <v>#N/A</v>
      </c>
      <c r="W56" t="e">
        <f t="shared" si="14"/>
        <v>#N/A</v>
      </c>
      <c r="X56" s="13" t="e">
        <f t="shared" si="30"/>
        <v>#N/A</v>
      </c>
      <c r="Z56" s="62" t="e">
        <f t="shared" si="31"/>
        <v>#N/A</v>
      </c>
      <c r="AA56" t="e">
        <f t="shared" si="12"/>
        <v>#N/A</v>
      </c>
      <c r="AL56" t="e">
        <f t="shared" si="32"/>
        <v>#N/A</v>
      </c>
    </row>
    <row r="57" spans="1:38" ht="15.75" customHeight="1" thickBot="1">
      <c r="A57" s="18"/>
      <c r="B57" s="21"/>
      <c r="C57" s="21"/>
      <c r="D57" s="23"/>
      <c r="F57" s="20"/>
      <c r="G57" s="31">
        <f t="shared" si="23"/>
      </c>
      <c r="H57" s="279"/>
      <c r="I57" s="280"/>
      <c r="J57" s="33">
        <f t="shared" si="24"/>
      </c>
      <c r="K57" s="31">
        <f t="shared" si="15"/>
      </c>
      <c r="L57" s="31">
        <f t="shared" si="25"/>
      </c>
      <c r="N57" s="62">
        <f t="shared" si="26"/>
      </c>
      <c r="O57" s="62" t="e">
        <f t="shared" si="27"/>
        <v>#N/A</v>
      </c>
      <c r="P57" s="87">
        <f t="shared" si="28"/>
      </c>
      <c r="Q57" s="16"/>
      <c r="R57" s="61" t="e">
        <f t="shared" si="9"/>
        <v>#N/A</v>
      </c>
      <c r="T57" s="59">
        <f t="shared" si="19"/>
        <v>0</v>
      </c>
      <c r="V57" t="e">
        <f t="shared" si="29"/>
        <v>#N/A</v>
      </c>
      <c r="W57" t="e">
        <f t="shared" si="14"/>
        <v>#N/A</v>
      </c>
      <c r="X57" s="13" t="e">
        <f t="shared" si="30"/>
        <v>#N/A</v>
      </c>
      <c r="Z57" s="62" t="e">
        <f t="shared" si="31"/>
        <v>#N/A</v>
      </c>
      <c r="AA57" t="e">
        <f t="shared" si="12"/>
        <v>#N/A</v>
      </c>
      <c r="AL57" t="e">
        <f t="shared" si="32"/>
        <v>#N/A</v>
      </c>
    </row>
    <row r="58" spans="1:38" ht="15.75" customHeight="1" thickBot="1">
      <c r="A58" s="18"/>
      <c r="B58" s="21"/>
      <c r="C58" s="21"/>
      <c r="D58" s="23"/>
      <c r="F58" s="20"/>
      <c r="G58" s="31">
        <f t="shared" si="23"/>
      </c>
      <c r="H58" s="279"/>
      <c r="I58" s="280"/>
      <c r="J58" s="33">
        <f t="shared" si="24"/>
      </c>
      <c r="K58" s="31">
        <f t="shared" si="15"/>
      </c>
      <c r="L58" s="31">
        <f t="shared" si="25"/>
      </c>
      <c r="N58" s="62">
        <f t="shared" si="26"/>
      </c>
      <c r="O58" s="62" t="e">
        <f t="shared" si="27"/>
        <v>#N/A</v>
      </c>
      <c r="P58" s="87">
        <f t="shared" si="28"/>
      </c>
      <c r="Q58" s="16"/>
      <c r="R58" s="61" t="e">
        <f t="shared" si="9"/>
        <v>#N/A</v>
      </c>
      <c r="T58" s="59">
        <f t="shared" si="19"/>
        <v>0</v>
      </c>
      <c r="V58" t="e">
        <f t="shared" si="29"/>
        <v>#N/A</v>
      </c>
      <c r="W58" t="e">
        <f t="shared" si="14"/>
        <v>#N/A</v>
      </c>
      <c r="X58" s="13" t="e">
        <f t="shared" si="30"/>
        <v>#N/A</v>
      </c>
      <c r="Z58" s="62" t="e">
        <f t="shared" si="31"/>
        <v>#N/A</v>
      </c>
      <c r="AA58" t="e">
        <f t="shared" si="12"/>
        <v>#N/A</v>
      </c>
      <c r="AL58" t="e">
        <f t="shared" si="32"/>
        <v>#N/A</v>
      </c>
    </row>
    <row r="59" spans="1:38" ht="15.75" customHeight="1" thickBot="1">
      <c r="A59" s="18"/>
      <c r="B59" s="21"/>
      <c r="C59" s="21"/>
      <c r="D59" s="23"/>
      <c r="F59" s="20"/>
      <c r="G59" s="31">
        <f t="shared" si="23"/>
      </c>
      <c r="H59" s="279"/>
      <c r="I59" s="280"/>
      <c r="J59" s="33">
        <f t="shared" si="24"/>
      </c>
      <c r="K59" s="31">
        <f t="shared" si="15"/>
      </c>
      <c r="L59" s="31">
        <f t="shared" si="25"/>
      </c>
      <c r="N59" s="62">
        <f t="shared" si="26"/>
      </c>
      <c r="O59" s="62" t="e">
        <f t="shared" si="27"/>
        <v>#N/A</v>
      </c>
      <c r="P59" s="87">
        <f t="shared" si="28"/>
      </c>
      <c r="Q59" s="16"/>
      <c r="R59" s="61" t="e">
        <f t="shared" si="9"/>
        <v>#N/A</v>
      </c>
      <c r="T59" s="59">
        <f t="shared" si="19"/>
        <v>0</v>
      </c>
      <c r="V59" t="e">
        <f t="shared" si="29"/>
        <v>#N/A</v>
      </c>
      <c r="W59" t="e">
        <f t="shared" si="14"/>
        <v>#N/A</v>
      </c>
      <c r="X59" s="13" t="e">
        <f t="shared" si="30"/>
        <v>#N/A</v>
      </c>
      <c r="Z59" s="62" t="e">
        <f t="shared" si="31"/>
        <v>#N/A</v>
      </c>
      <c r="AA59" t="e">
        <f t="shared" si="12"/>
        <v>#N/A</v>
      </c>
      <c r="AL59" t="e">
        <f t="shared" si="32"/>
        <v>#N/A</v>
      </c>
    </row>
    <row r="60" spans="1:38" ht="15.75" customHeight="1" thickBot="1">
      <c r="A60" s="18"/>
      <c r="B60" s="21"/>
      <c r="C60" s="21"/>
      <c r="D60" s="23"/>
      <c r="F60" s="20"/>
      <c r="G60" s="31">
        <f t="shared" si="23"/>
      </c>
      <c r="H60" s="279"/>
      <c r="I60" s="280"/>
      <c r="J60" s="33">
        <f t="shared" si="24"/>
      </c>
      <c r="K60" s="31">
        <f t="shared" si="15"/>
      </c>
      <c r="L60" s="31">
        <f t="shared" si="25"/>
      </c>
      <c r="N60" s="62">
        <f t="shared" si="26"/>
      </c>
      <c r="O60" s="62" t="e">
        <f t="shared" si="27"/>
        <v>#N/A</v>
      </c>
      <c r="P60" s="87">
        <f t="shared" si="28"/>
      </c>
      <c r="Q60" s="16"/>
      <c r="R60" s="61" t="e">
        <f t="shared" si="9"/>
        <v>#N/A</v>
      </c>
      <c r="T60" s="59">
        <f t="shared" si="19"/>
        <v>0</v>
      </c>
      <c r="V60" t="e">
        <f t="shared" si="29"/>
        <v>#N/A</v>
      </c>
      <c r="W60" t="e">
        <f t="shared" si="14"/>
        <v>#N/A</v>
      </c>
      <c r="X60" s="13" t="e">
        <f t="shared" si="30"/>
        <v>#N/A</v>
      </c>
      <c r="Z60" s="62" t="e">
        <f t="shared" si="31"/>
        <v>#N/A</v>
      </c>
      <c r="AA60" t="e">
        <f t="shared" si="12"/>
        <v>#N/A</v>
      </c>
      <c r="AL60" t="e">
        <f t="shared" si="32"/>
        <v>#N/A</v>
      </c>
    </row>
    <row r="61" spans="1:38" ht="15.75" customHeight="1" thickBot="1">
      <c r="A61" s="18"/>
      <c r="B61" s="21"/>
      <c r="C61" s="21"/>
      <c r="D61" s="23"/>
      <c r="F61" s="20"/>
      <c r="G61" s="31">
        <f t="shared" si="23"/>
      </c>
      <c r="H61" s="279"/>
      <c r="I61" s="280"/>
      <c r="J61" s="33">
        <f t="shared" si="24"/>
      </c>
      <c r="K61" s="31">
        <f t="shared" si="15"/>
      </c>
      <c r="L61" s="31">
        <f t="shared" si="25"/>
      </c>
      <c r="N61" s="62">
        <f t="shared" si="26"/>
      </c>
      <c r="O61" s="62" t="e">
        <f t="shared" si="27"/>
        <v>#N/A</v>
      </c>
      <c r="P61" s="87">
        <f t="shared" si="28"/>
      </c>
      <c r="Q61" s="16"/>
      <c r="R61" s="61" t="e">
        <f t="shared" si="9"/>
        <v>#N/A</v>
      </c>
      <c r="T61" s="59">
        <f t="shared" si="19"/>
        <v>0</v>
      </c>
      <c r="V61" t="e">
        <f t="shared" si="29"/>
        <v>#N/A</v>
      </c>
      <c r="W61" t="e">
        <f t="shared" si="14"/>
        <v>#N/A</v>
      </c>
      <c r="X61" s="13" t="e">
        <f t="shared" si="30"/>
        <v>#N/A</v>
      </c>
      <c r="Z61" s="62" t="e">
        <f t="shared" si="31"/>
        <v>#N/A</v>
      </c>
      <c r="AA61" t="e">
        <f t="shared" si="12"/>
        <v>#N/A</v>
      </c>
      <c r="AL61" t="e">
        <f t="shared" si="32"/>
        <v>#N/A</v>
      </c>
    </row>
    <row r="62" spans="1:38" ht="15.75" customHeight="1" thickBot="1">
      <c r="A62" s="18"/>
      <c r="B62" s="21"/>
      <c r="C62" s="21"/>
      <c r="D62" s="23"/>
      <c r="F62" s="20"/>
      <c r="G62" s="31">
        <f t="shared" si="23"/>
      </c>
      <c r="H62" s="279"/>
      <c r="I62" s="280"/>
      <c r="J62" s="33">
        <f t="shared" si="24"/>
      </c>
      <c r="K62" s="31">
        <f t="shared" si="15"/>
      </c>
      <c r="L62" s="31">
        <f t="shared" si="25"/>
      </c>
      <c r="N62" s="62">
        <f t="shared" si="26"/>
      </c>
      <c r="O62" s="62" t="e">
        <f t="shared" si="27"/>
        <v>#N/A</v>
      </c>
      <c r="P62" s="87">
        <f t="shared" si="28"/>
      </c>
      <c r="Q62" s="16"/>
      <c r="R62" s="61" t="e">
        <f t="shared" si="9"/>
        <v>#N/A</v>
      </c>
      <c r="T62" s="59">
        <f t="shared" si="19"/>
        <v>0</v>
      </c>
      <c r="V62" t="e">
        <f t="shared" si="29"/>
        <v>#N/A</v>
      </c>
      <c r="W62" t="e">
        <f t="shared" si="14"/>
        <v>#N/A</v>
      </c>
      <c r="X62" s="13" t="e">
        <f t="shared" si="30"/>
        <v>#N/A</v>
      </c>
      <c r="Z62" s="62" t="e">
        <f t="shared" si="31"/>
        <v>#N/A</v>
      </c>
      <c r="AA62" t="e">
        <f t="shared" si="12"/>
        <v>#N/A</v>
      </c>
      <c r="AL62" t="e">
        <f t="shared" si="32"/>
        <v>#N/A</v>
      </c>
    </row>
    <row r="63" spans="1:38" ht="15.75" customHeight="1" thickBot="1">
      <c r="A63" s="18"/>
      <c r="B63" s="21"/>
      <c r="C63" s="21"/>
      <c r="D63" s="23"/>
      <c r="F63" s="20"/>
      <c r="G63" s="31">
        <f t="shared" si="23"/>
      </c>
      <c r="H63" s="279"/>
      <c r="I63" s="280"/>
      <c r="J63" s="33">
        <f t="shared" si="24"/>
      </c>
      <c r="K63" s="31">
        <f t="shared" si="15"/>
      </c>
      <c r="L63" s="31">
        <f t="shared" si="25"/>
      </c>
      <c r="N63" s="62">
        <f t="shared" si="26"/>
      </c>
      <c r="O63" s="62" t="e">
        <f t="shared" si="27"/>
        <v>#N/A</v>
      </c>
      <c r="P63" s="87">
        <f t="shared" si="28"/>
      </c>
      <c r="Q63" s="16"/>
      <c r="R63" s="61" t="e">
        <f t="shared" si="9"/>
        <v>#N/A</v>
      </c>
      <c r="T63" s="59">
        <f t="shared" si="19"/>
        <v>0</v>
      </c>
      <c r="V63" t="e">
        <f t="shared" si="29"/>
        <v>#N/A</v>
      </c>
      <c r="W63" t="e">
        <f t="shared" si="14"/>
        <v>#N/A</v>
      </c>
      <c r="X63" s="13" t="e">
        <f t="shared" si="30"/>
        <v>#N/A</v>
      </c>
      <c r="Z63" s="62" t="e">
        <f t="shared" si="31"/>
        <v>#N/A</v>
      </c>
      <c r="AA63" t="e">
        <f t="shared" si="12"/>
        <v>#N/A</v>
      </c>
      <c r="AL63" t="e">
        <f t="shared" si="32"/>
        <v>#N/A</v>
      </c>
    </row>
    <row r="64" spans="1:38" ht="15.75" customHeight="1" thickBot="1">
      <c r="A64" s="18"/>
      <c r="B64" s="21"/>
      <c r="C64" s="21"/>
      <c r="D64" s="23"/>
      <c r="F64" s="20"/>
      <c r="G64" s="31">
        <f t="shared" si="23"/>
      </c>
      <c r="H64" s="279"/>
      <c r="I64" s="280"/>
      <c r="J64" s="33">
        <f t="shared" si="24"/>
      </c>
      <c r="K64" s="31">
        <f t="shared" si="15"/>
      </c>
      <c r="L64" s="31">
        <f t="shared" si="25"/>
      </c>
      <c r="N64" s="62">
        <f t="shared" si="26"/>
      </c>
      <c r="O64" s="62" t="e">
        <f t="shared" si="27"/>
        <v>#N/A</v>
      </c>
      <c r="P64" s="87">
        <f t="shared" si="28"/>
      </c>
      <c r="Q64" s="16"/>
      <c r="R64" s="61" t="e">
        <f t="shared" si="9"/>
        <v>#N/A</v>
      </c>
      <c r="T64" s="59">
        <f t="shared" si="19"/>
        <v>0</v>
      </c>
      <c r="V64" t="e">
        <f t="shared" si="29"/>
        <v>#N/A</v>
      </c>
      <c r="W64" t="e">
        <f t="shared" si="14"/>
        <v>#N/A</v>
      </c>
      <c r="X64" s="13" t="e">
        <f t="shared" si="30"/>
        <v>#N/A</v>
      </c>
      <c r="Z64" s="62" t="e">
        <f t="shared" si="31"/>
        <v>#N/A</v>
      </c>
      <c r="AA64" t="e">
        <f t="shared" si="12"/>
        <v>#N/A</v>
      </c>
      <c r="AL64" t="e">
        <f t="shared" si="32"/>
        <v>#N/A</v>
      </c>
    </row>
    <row r="65" spans="1:38" ht="15.75" customHeight="1" thickBot="1">
      <c r="A65" s="18"/>
      <c r="B65" s="21"/>
      <c r="C65" s="21"/>
      <c r="D65" s="23"/>
      <c r="F65" s="20"/>
      <c r="G65" s="31">
        <f t="shared" si="23"/>
      </c>
      <c r="H65" s="279"/>
      <c r="I65" s="280"/>
      <c r="J65" s="33">
        <f t="shared" si="24"/>
      </c>
      <c r="K65" s="31">
        <f t="shared" si="15"/>
      </c>
      <c r="L65" s="31">
        <f t="shared" si="25"/>
      </c>
      <c r="N65" s="62">
        <f t="shared" si="26"/>
      </c>
      <c r="O65" s="62" t="e">
        <f t="shared" si="27"/>
        <v>#N/A</v>
      </c>
      <c r="P65" s="87">
        <f t="shared" si="28"/>
      </c>
      <c r="Q65" s="16"/>
      <c r="R65" s="61" t="e">
        <f t="shared" si="9"/>
        <v>#N/A</v>
      </c>
      <c r="T65" s="59">
        <f t="shared" si="19"/>
        <v>0</v>
      </c>
      <c r="V65" t="e">
        <f t="shared" si="29"/>
        <v>#N/A</v>
      </c>
      <c r="W65" t="e">
        <f t="shared" si="14"/>
        <v>#N/A</v>
      </c>
      <c r="X65" s="13" t="e">
        <f t="shared" si="30"/>
        <v>#N/A</v>
      </c>
      <c r="Z65" s="62" t="e">
        <f t="shared" si="31"/>
        <v>#N/A</v>
      </c>
      <c r="AA65" t="e">
        <f t="shared" si="12"/>
        <v>#N/A</v>
      </c>
      <c r="AL65" t="e">
        <f t="shared" si="32"/>
        <v>#N/A</v>
      </c>
    </row>
    <row r="66" spans="1:38" ht="15.75" customHeight="1" thickBot="1">
      <c r="A66" s="18"/>
      <c r="B66" s="21"/>
      <c r="C66" s="21"/>
      <c r="D66" s="23"/>
      <c r="F66" s="20"/>
      <c r="G66" s="31">
        <f t="shared" si="23"/>
      </c>
      <c r="H66" s="279"/>
      <c r="I66" s="280"/>
      <c r="J66" s="33">
        <f t="shared" si="24"/>
      </c>
      <c r="K66" s="31">
        <f t="shared" si="15"/>
      </c>
      <c r="L66" s="31">
        <f t="shared" si="25"/>
      </c>
      <c r="N66" s="62">
        <f t="shared" si="26"/>
      </c>
      <c r="O66" s="62" t="e">
        <f t="shared" si="27"/>
        <v>#N/A</v>
      </c>
      <c r="P66" s="87">
        <f t="shared" si="28"/>
      </c>
      <c r="Q66" s="16"/>
      <c r="R66" s="61" t="e">
        <f t="shared" si="9"/>
        <v>#N/A</v>
      </c>
      <c r="T66" s="59">
        <f t="shared" si="19"/>
        <v>0</v>
      </c>
      <c r="V66" t="e">
        <f t="shared" si="29"/>
        <v>#N/A</v>
      </c>
      <c r="W66" t="e">
        <f t="shared" si="14"/>
        <v>#N/A</v>
      </c>
      <c r="X66" s="13" t="e">
        <f t="shared" si="30"/>
        <v>#N/A</v>
      </c>
      <c r="Z66" s="62" t="e">
        <f t="shared" si="31"/>
        <v>#N/A</v>
      </c>
      <c r="AA66" t="e">
        <f t="shared" si="12"/>
        <v>#N/A</v>
      </c>
      <c r="AL66" t="e">
        <f t="shared" si="32"/>
        <v>#N/A</v>
      </c>
    </row>
    <row r="67" spans="1:38" ht="15.75" customHeight="1" thickBot="1">
      <c r="A67" s="18"/>
      <c r="B67" s="21"/>
      <c r="C67" s="21"/>
      <c r="D67" s="23"/>
      <c r="F67" s="20"/>
      <c r="G67" s="31">
        <f t="shared" si="23"/>
      </c>
      <c r="H67" s="279"/>
      <c r="I67" s="280"/>
      <c r="J67" s="33">
        <f t="shared" si="24"/>
      </c>
      <c r="K67" s="31">
        <f t="shared" si="15"/>
      </c>
      <c r="L67" s="31">
        <f t="shared" si="25"/>
      </c>
      <c r="N67" s="62">
        <f t="shared" si="26"/>
      </c>
      <c r="O67" s="62" t="e">
        <f t="shared" si="27"/>
        <v>#N/A</v>
      </c>
      <c r="P67" s="87">
        <f t="shared" si="28"/>
      </c>
      <c r="Q67" s="16"/>
      <c r="R67" s="61" t="e">
        <f t="shared" si="9"/>
        <v>#N/A</v>
      </c>
      <c r="T67" s="59">
        <f t="shared" si="19"/>
        <v>0</v>
      </c>
      <c r="V67" t="e">
        <f t="shared" si="29"/>
        <v>#N/A</v>
      </c>
      <c r="W67" t="e">
        <f t="shared" si="14"/>
        <v>#N/A</v>
      </c>
      <c r="X67" s="13" t="e">
        <f t="shared" si="30"/>
        <v>#N/A</v>
      </c>
      <c r="Z67" s="62" t="e">
        <f t="shared" si="31"/>
        <v>#N/A</v>
      </c>
      <c r="AA67" t="e">
        <f t="shared" si="12"/>
        <v>#N/A</v>
      </c>
      <c r="AL67" t="e">
        <f t="shared" si="32"/>
        <v>#N/A</v>
      </c>
    </row>
    <row r="68" spans="1:38" ht="15.75" customHeight="1" thickBot="1">
      <c r="A68" s="18"/>
      <c r="B68" s="21"/>
      <c r="C68" s="21"/>
      <c r="D68" s="23"/>
      <c r="F68" s="20"/>
      <c r="G68" s="31">
        <f t="shared" si="23"/>
      </c>
      <c r="H68" s="279"/>
      <c r="I68" s="280"/>
      <c r="J68" s="33">
        <f t="shared" si="24"/>
      </c>
      <c r="K68" s="31">
        <f t="shared" si="15"/>
      </c>
      <c r="L68" s="31">
        <f t="shared" si="25"/>
      </c>
      <c r="N68" s="62">
        <f t="shared" si="26"/>
      </c>
      <c r="O68" s="62" t="e">
        <f t="shared" si="27"/>
        <v>#N/A</v>
      </c>
      <c r="P68" s="87">
        <f t="shared" si="28"/>
      </c>
      <c r="Q68" s="16"/>
      <c r="R68" s="61" t="e">
        <f t="shared" si="9"/>
        <v>#N/A</v>
      </c>
      <c r="T68" s="59">
        <f t="shared" si="19"/>
        <v>0</v>
      </c>
      <c r="V68" t="e">
        <f t="shared" si="29"/>
        <v>#N/A</v>
      </c>
      <c r="W68" t="e">
        <f t="shared" si="14"/>
        <v>#N/A</v>
      </c>
      <c r="X68" s="13" t="e">
        <f t="shared" si="30"/>
        <v>#N/A</v>
      </c>
      <c r="Z68" s="62" t="e">
        <f t="shared" si="31"/>
        <v>#N/A</v>
      </c>
      <c r="AA68" t="e">
        <f t="shared" si="12"/>
        <v>#N/A</v>
      </c>
      <c r="AL68" t="e">
        <f t="shared" si="32"/>
        <v>#N/A</v>
      </c>
    </row>
    <row r="69" spans="1:38" ht="15.75" customHeight="1" thickBot="1">
      <c r="A69" s="18"/>
      <c r="B69" s="21"/>
      <c r="C69" s="21"/>
      <c r="D69" s="23"/>
      <c r="F69" s="20"/>
      <c r="G69" s="31">
        <f t="shared" si="23"/>
      </c>
      <c r="H69" s="279"/>
      <c r="I69" s="280"/>
      <c r="J69" s="33">
        <f t="shared" si="24"/>
      </c>
      <c r="K69" s="31">
        <f t="shared" si="15"/>
      </c>
      <c r="L69" s="31">
        <f t="shared" si="25"/>
      </c>
      <c r="N69" s="62">
        <f t="shared" si="26"/>
      </c>
      <c r="O69" s="62" t="e">
        <f t="shared" si="27"/>
        <v>#N/A</v>
      </c>
      <c r="P69" s="87">
        <f t="shared" si="28"/>
      </c>
      <c r="Q69" s="16"/>
      <c r="R69" s="61" t="e">
        <f t="shared" si="9"/>
        <v>#N/A</v>
      </c>
      <c r="T69" s="59">
        <f t="shared" si="19"/>
        <v>0</v>
      </c>
      <c r="V69" t="e">
        <f t="shared" si="29"/>
        <v>#N/A</v>
      </c>
      <c r="W69" t="e">
        <f t="shared" si="14"/>
        <v>#N/A</v>
      </c>
      <c r="X69" s="13" t="e">
        <f t="shared" si="30"/>
        <v>#N/A</v>
      </c>
      <c r="Z69" s="62" t="e">
        <f t="shared" si="31"/>
        <v>#N/A</v>
      </c>
      <c r="AA69" t="e">
        <f t="shared" si="12"/>
        <v>#N/A</v>
      </c>
      <c r="AL69" t="e">
        <f t="shared" si="32"/>
        <v>#N/A</v>
      </c>
    </row>
    <row r="70" spans="1:38" ht="15.75" customHeight="1">
      <c r="A70" s="18"/>
      <c r="B70" s="21"/>
      <c r="C70" s="21"/>
      <c r="D70" s="23"/>
      <c r="F70" s="20"/>
      <c r="G70" s="31">
        <f t="shared" si="23"/>
      </c>
      <c r="H70" s="279"/>
      <c r="I70" s="280"/>
      <c r="J70" s="33">
        <f t="shared" si="24"/>
      </c>
      <c r="K70" s="31">
        <f t="shared" si="15"/>
      </c>
      <c r="L70" s="31">
        <f t="shared" si="25"/>
      </c>
      <c r="N70" s="62">
        <f t="shared" si="26"/>
      </c>
      <c r="O70" s="62" t="e">
        <f t="shared" si="27"/>
        <v>#N/A</v>
      </c>
      <c r="P70" s="87">
        <f t="shared" si="28"/>
      </c>
      <c r="Q70" s="16"/>
      <c r="R70" s="61" t="e">
        <f t="shared" si="9"/>
        <v>#N/A</v>
      </c>
      <c r="T70" s="59">
        <f>IF($O$24=2,$S$22,$C$24)</f>
        <v>0</v>
      </c>
      <c r="V70" t="e">
        <f t="shared" si="29"/>
        <v>#N/A</v>
      </c>
      <c r="W70" t="e">
        <f t="shared" si="14"/>
        <v>#N/A</v>
      </c>
      <c r="X70" s="13" t="e">
        <f t="shared" si="30"/>
        <v>#N/A</v>
      </c>
      <c r="Z70" s="62" t="e">
        <f t="shared" si="31"/>
        <v>#N/A</v>
      </c>
      <c r="AA70" t="e">
        <f t="shared" si="12"/>
        <v>#N/A</v>
      </c>
      <c r="AL70" t="e">
        <f t="shared" si="32"/>
        <v>#N/A</v>
      </c>
    </row>
  </sheetData>
  <sheetProtection password="9116" sheet="1" objects="1" scenarios="1"/>
  <mergeCells count="50">
    <mergeCell ref="H49:I49"/>
    <mergeCell ref="H50:I50"/>
    <mergeCell ref="H45:I45"/>
    <mergeCell ref="H46:I46"/>
    <mergeCell ref="H47:I47"/>
    <mergeCell ref="H48:I48"/>
    <mergeCell ref="H41:I41"/>
    <mergeCell ref="H42:I42"/>
    <mergeCell ref="H43:I43"/>
    <mergeCell ref="H44:I44"/>
    <mergeCell ref="H37:I37"/>
    <mergeCell ref="H38:I38"/>
    <mergeCell ref="H39:I39"/>
    <mergeCell ref="H40:I40"/>
    <mergeCell ref="H33:I33"/>
    <mergeCell ref="H34:I34"/>
    <mergeCell ref="H35:I35"/>
    <mergeCell ref="H36:I36"/>
    <mergeCell ref="H29:I29"/>
    <mergeCell ref="H30:I30"/>
    <mergeCell ref="H31:I31"/>
    <mergeCell ref="H32:I32"/>
    <mergeCell ref="G10:H10"/>
    <mergeCell ref="B9:C9"/>
    <mergeCell ref="C28:D28"/>
    <mergeCell ref="B11:C11"/>
    <mergeCell ref="B12:C12"/>
    <mergeCell ref="B10:C10"/>
    <mergeCell ref="H28:I28"/>
    <mergeCell ref="G11:H11"/>
    <mergeCell ref="H51:I51"/>
    <mergeCell ref="H52:I52"/>
    <mergeCell ref="H53:I53"/>
    <mergeCell ref="H54:I54"/>
    <mergeCell ref="H55:I55"/>
    <mergeCell ref="H56:I56"/>
    <mergeCell ref="H57:I57"/>
    <mergeCell ref="H58:I58"/>
    <mergeCell ref="H59:I59"/>
    <mergeCell ref="H60:I60"/>
    <mergeCell ref="H61:I61"/>
    <mergeCell ref="H62:I62"/>
    <mergeCell ref="H63:I63"/>
    <mergeCell ref="H64:I64"/>
    <mergeCell ref="H65:I65"/>
    <mergeCell ref="H66:I66"/>
    <mergeCell ref="H67:I67"/>
    <mergeCell ref="H68:I68"/>
    <mergeCell ref="H69:I69"/>
    <mergeCell ref="H70:I70"/>
  </mergeCells>
  <conditionalFormatting sqref="L30:L70 K31:K70">
    <cfRule type="cellIs" priority="1" dxfId="0" operator="notEqual" stopIfTrue="1">
      <formula>"OK"</formula>
    </cfRule>
  </conditionalFormatting>
  <conditionalFormatting sqref="H18">
    <cfRule type="cellIs" priority="2" dxfId="1" operator="greaterThan" stopIfTrue="1">
      <formula>12</formula>
    </cfRule>
  </conditionalFormatting>
  <conditionalFormatting sqref="J31:J70">
    <cfRule type="cellIs" priority="3" dxfId="0" operator="lessThan" stopIfTrue="1">
      <formula>$B31-$F31</formula>
    </cfRule>
    <cfRule type="cellIs" priority="4" dxfId="2" operator="lessThan" stopIfTrue="1">
      <formula>$B31-$F31+25</formula>
    </cfRule>
  </conditionalFormatting>
  <conditionalFormatting sqref="F30:F70">
    <cfRule type="expression" priority="5" dxfId="3" stopIfTrue="1">
      <formula>AND($F30&lt;$Y$23,F30&gt;0)</formula>
    </cfRule>
  </conditionalFormatting>
  <conditionalFormatting sqref="C24">
    <cfRule type="expression" priority="6" dxfId="1" stopIfTrue="1">
      <formula>IF(ISNUMBER(H17),AND($O$24&lt;&gt;2,$C$24&lt;$H$17),"")</formula>
    </cfRule>
    <cfRule type="expression" priority="7" dxfId="1" stopIfTrue="1">
      <formula>AND($O$24=2,$C$24&lt;$H$25)</formula>
    </cfRule>
  </conditionalFormatting>
  <dataValidations count="1">
    <dataValidation errorStyle="warning" type="decimal" operator="greaterThanOrEqual" allowBlank="1" showInputMessage="1" showErrorMessage="1" errorTitle="Trough Size Error" error="Selected trough size must be at least as big as the minimum requirement." sqref="H16">
      <formula1>H15</formula1>
    </dataValidation>
  </dataValidations>
  <printOptions/>
  <pageMargins left="0.75" right="0.75" top="1" bottom="1" header="0.5" footer="0.5"/>
  <pageSetup horizontalDpi="600" verticalDpi="600" orientation="portrait" scale="61" r:id="rId4"/>
  <drawing r:id="rId3"/>
  <legacyDrawing r:id="rId2"/>
</worksheet>
</file>

<file path=xl/worksheets/sheet2.xml><?xml version="1.0" encoding="utf-8"?>
<worksheet xmlns="http://schemas.openxmlformats.org/spreadsheetml/2006/main" xmlns:r="http://schemas.openxmlformats.org/officeDocument/2006/relationships">
  <sheetPr codeName="Sheet6"/>
  <dimension ref="A1:X64"/>
  <sheetViews>
    <sheetView showGridLines="0" workbookViewId="0" topLeftCell="A1">
      <selection activeCell="A5" sqref="A5"/>
    </sheetView>
  </sheetViews>
  <sheetFormatPr defaultColWidth="9.140625" defaultRowHeight="12.75"/>
  <cols>
    <col min="2" max="2" width="7.140625" style="0" customWidth="1"/>
    <col min="4" max="4" width="5.00390625" style="0" customWidth="1"/>
    <col min="5" max="5" width="17.57421875" style="0" customWidth="1"/>
    <col min="6" max="6" width="4.28125" style="0" customWidth="1"/>
    <col min="12" max="12" width="0" style="0" hidden="1" customWidth="1"/>
    <col min="13" max="24" width="9.140625" style="0" hidden="1" customWidth="1"/>
    <col min="25" max="25" width="0" style="0" hidden="1" customWidth="1"/>
  </cols>
  <sheetData>
    <row r="1" ht="12.75">
      <c r="S1" t="s">
        <v>30</v>
      </c>
    </row>
    <row r="2" spans="1:21" ht="15">
      <c r="A2" s="161" t="s">
        <v>277</v>
      </c>
      <c r="B2" s="162"/>
      <c r="C2" s="162"/>
      <c r="D2" s="162"/>
      <c r="E2" s="163">
        <f>Design!$B$9</f>
        <v>0</v>
      </c>
      <c r="R2" s="13" t="s">
        <v>31</v>
      </c>
      <c r="S2" t="s">
        <v>22</v>
      </c>
      <c r="U2" t="s">
        <v>265</v>
      </c>
    </row>
    <row r="3" spans="1:21" ht="12.75">
      <c r="A3" s="166" t="s">
        <v>266</v>
      </c>
      <c r="B3" s="177"/>
      <c r="C3" s="179" t="s">
        <v>265</v>
      </c>
      <c r="D3" s="7"/>
      <c r="E3" s="168"/>
      <c r="R3" s="13">
        <v>1</v>
      </c>
      <c r="S3" t="s">
        <v>24</v>
      </c>
      <c r="U3">
        <f>ROUND(R52,0)</f>
        <v>0</v>
      </c>
    </row>
    <row r="4" spans="1:21" ht="12.75">
      <c r="A4" s="169" t="s">
        <v>267</v>
      </c>
      <c r="B4" s="178"/>
      <c r="C4" s="180" t="s">
        <v>268</v>
      </c>
      <c r="D4" s="11"/>
      <c r="E4" s="171"/>
      <c r="G4" s="200" t="s">
        <v>280</v>
      </c>
      <c r="H4" s="7"/>
      <c r="I4" s="7"/>
      <c r="J4" s="168"/>
      <c r="R4" s="13">
        <v>2</v>
      </c>
      <c r="S4" t="s">
        <v>25</v>
      </c>
      <c r="U4">
        <f>ROUND(S52,0)</f>
        <v>0</v>
      </c>
    </row>
    <row r="5" spans="1:21" ht="12.75">
      <c r="A5" s="173"/>
      <c r="B5" s="168"/>
      <c r="C5" s="181">
        <f aca="true" t="shared" si="0" ref="C5:C10">IF($U3&gt;0,U3,"")</f>
      </c>
      <c r="D5" s="7"/>
      <c r="E5" s="168"/>
      <c r="G5" s="8" t="s">
        <v>282</v>
      </c>
      <c r="H5" s="9"/>
      <c r="I5" s="9"/>
      <c r="J5" s="175"/>
      <c r="R5" s="13">
        <v>3</v>
      </c>
      <c r="S5" t="s">
        <v>26</v>
      </c>
      <c r="U5">
        <f>ROUND(T52,0)</f>
        <v>0</v>
      </c>
    </row>
    <row r="6" spans="1:21" ht="12.75">
      <c r="A6" s="173">
        <f aca="true" t="shared" si="1" ref="A5:A11">IF(U4&gt;0,S4,"")</f>
      </c>
      <c r="B6" s="175"/>
      <c r="C6" s="181">
        <f t="shared" si="0"/>
      </c>
      <c r="D6" s="9"/>
      <c r="E6" s="175"/>
      <c r="G6" s="8" t="s">
        <v>283</v>
      </c>
      <c r="H6" s="9"/>
      <c r="I6" s="9"/>
      <c r="J6" s="175"/>
      <c r="R6" s="13">
        <v>4</v>
      </c>
      <c r="S6" t="s">
        <v>27</v>
      </c>
      <c r="U6">
        <f>ROUND(U52,0)</f>
        <v>0</v>
      </c>
    </row>
    <row r="7" spans="1:21" ht="12.75">
      <c r="A7" s="173">
        <f t="shared" si="1"/>
      </c>
      <c r="B7" s="175"/>
      <c r="C7" s="181">
        <f t="shared" si="0"/>
      </c>
      <c r="D7" s="9"/>
      <c r="E7" s="175"/>
      <c r="G7" s="8" t="s">
        <v>281</v>
      </c>
      <c r="H7" s="174">
        <f>Design!B9</f>
        <v>0</v>
      </c>
      <c r="I7" s="9"/>
      <c r="J7" s="175"/>
      <c r="R7" s="13">
        <v>5</v>
      </c>
      <c r="S7" t="s">
        <v>28</v>
      </c>
      <c r="U7">
        <f>ROUND(V52,0)</f>
        <v>0</v>
      </c>
    </row>
    <row r="8" spans="1:21" ht="12.75">
      <c r="A8" s="173">
        <f t="shared" si="1"/>
      </c>
      <c r="B8" s="175"/>
      <c r="C8" s="181">
        <f t="shared" si="0"/>
      </c>
      <c r="D8" s="9"/>
      <c r="E8" s="175"/>
      <c r="G8" s="8" t="s">
        <v>284</v>
      </c>
      <c r="H8" s="9"/>
      <c r="I8" s="9"/>
      <c r="J8" s="175"/>
      <c r="R8" s="13">
        <v>6</v>
      </c>
      <c r="S8" t="s">
        <v>29</v>
      </c>
      <c r="U8">
        <f>ROUND(W52,0)</f>
        <v>0</v>
      </c>
    </row>
    <row r="9" spans="1:21" ht="12.75">
      <c r="A9" s="173">
        <f t="shared" si="1"/>
      </c>
      <c r="B9" s="175"/>
      <c r="C9" s="181">
        <f t="shared" si="0"/>
      </c>
      <c r="D9" s="9"/>
      <c r="E9" s="175"/>
      <c r="G9" s="8" t="s">
        <v>285</v>
      </c>
      <c r="H9" s="9"/>
      <c r="I9" s="9"/>
      <c r="J9" s="175"/>
      <c r="R9" s="13">
        <v>7</v>
      </c>
      <c r="S9" t="s">
        <v>55</v>
      </c>
      <c r="U9">
        <f>ROUND(X52,0)</f>
        <v>0</v>
      </c>
    </row>
    <row r="10" spans="1:24" ht="12.75">
      <c r="A10" s="173">
        <f t="shared" si="1"/>
      </c>
      <c r="B10" s="175"/>
      <c r="C10" s="181">
        <f t="shared" si="0"/>
      </c>
      <c r="D10" s="9"/>
      <c r="E10" s="175"/>
      <c r="G10" s="8" t="s">
        <v>286</v>
      </c>
      <c r="H10" s="9"/>
      <c r="I10" s="9"/>
      <c r="J10" s="175"/>
      <c r="N10" t="s">
        <v>269</v>
      </c>
      <c r="O10" t="s">
        <v>270</v>
      </c>
      <c r="P10" t="s">
        <v>271</v>
      </c>
      <c r="Q10" s="6" t="s">
        <v>272</v>
      </c>
      <c r="R10" s="6">
        <v>1</v>
      </c>
      <c r="S10" s="6">
        <v>2</v>
      </c>
      <c r="T10" s="6">
        <v>3</v>
      </c>
      <c r="U10" s="6">
        <v>4</v>
      </c>
      <c r="V10" s="6">
        <v>5</v>
      </c>
      <c r="W10" s="6">
        <v>6</v>
      </c>
      <c r="X10" s="6">
        <v>7</v>
      </c>
    </row>
    <row r="11" spans="1:24" ht="12.75">
      <c r="A11" s="176">
        <f t="shared" si="1"/>
      </c>
      <c r="B11" s="171"/>
      <c r="C11" s="182">
        <f>IF(U9&gt;0,U9,"")</f>
      </c>
      <c r="D11" s="11"/>
      <c r="E11" s="171"/>
      <c r="G11" s="10" t="s">
        <v>287</v>
      </c>
      <c r="H11" s="11"/>
      <c r="I11" s="11"/>
      <c r="J11" s="171"/>
      <c r="N11" s="164">
        <f>Design!A30</f>
        <v>0</v>
      </c>
      <c r="Q11" s="6"/>
      <c r="R11" s="6"/>
      <c r="S11" s="6"/>
      <c r="T11" s="6"/>
      <c r="U11" s="6"/>
      <c r="V11" s="6"/>
      <c r="W11" s="6"/>
      <c r="X11" s="6"/>
    </row>
    <row r="12" spans="14:24" ht="13.5" thickBot="1">
      <c r="N12" s="164">
        <f>Design!A31</f>
        <v>0</v>
      </c>
      <c r="O12" s="62">
        <f>Design!G31</f>
      </c>
      <c r="P12">
        <f>Design!Q31</f>
        <v>0</v>
      </c>
      <c r="Q12" s="6">
        <f>IF(ISNUMBER(O12),ROUND(SQRT((O12/100*(N12-N11))^2+(N12-N11)^2),1),"")</f>
      </c>
      <c r="R12" s="6">
        <f aca="true" t="shared" si="2" ref="R12:R51">IF($P12=R$10,$Q12,"")</f>
      </c>
      <c r="S12" s="6">
        <f aca="true" t="shared" si="3" ref="S12:X27">IF($P12=S$10,$Q12,"")</f>
      </c>
      <c r="T12" s="6">
        <f t="shared" si="3"/>
      </c>
      <c r="U12" s="6">
        <f t="shared" si="3"/>
      </c>
      <c r="V12" s="6">
        <f t="shared" si="3"/>
      </c>
      <c r="W12" s="6">
        <f t="shared" si="3"/>
      </c>
      <c r="X12" s="6">
        <f t="shared" si="3"/>
      </c>
    </row>
    <row r="13" spans="1:24" ht="15.75" thickTop="1">
      <c r="A13" s="114" t="s">
        <v>279</v>
      </c>
      <c r="B13" s="115"/>
      <c r="C13" s="115"/>
      <c r="D13" s="115"/>
      <c r="E13" s="115"/>
      <c r="F13" s="115"/>
      <c r="G13" s="115"/>
      <c r="H13" s="115"/>
      <c r="I13" s="115"/>
      <c r="J13" s="115"/>
      <c r="K13" s="116"/>
      <c r="N13" s="164">
        <f>Design!A32</f>
        <v>0</v>
      </c>
      <c r="O13" s="62">
        <f>Design!G32</f>
      </c>
      <c r="P13">
        <f>Design!Q32</f>
        <v>0</v>
      </c>
      <c r="Q13" s="6">
        <f aca="true" t="shared" si="4" ref="Q13:Q51">IF(ISNUMBER(O13),ROUND(SQRT((O13/100*(N13-N12))^2+(N13-N12)^2),1),"")</f>
      </c>
      <c r="R13" s="6">
        <f t="shared" si="2"/>
      </c>
      <c r="S13" s="6">
        <f t="shared" si="3"/>
      </c>
      <c r="T13" s="6">
        <f t="shared" si="3"/>
      </c>
      <c r="U13" s="6">
        <f t="shared" si="3"/>
      </c>
      <c r="V13" s="6">
        <f t="shared" si="3"/>
      </c>
      <c r="W13" s="6">
        <f t="shared" si="3"/>
      </c>
      <c r="X13" s="6">
        <f t="shared" si="3"/>
      </c>
    </row>
    <row r="14" spans="1:24" ht="12.75">
      <c r="A14" s="183"/>
      <c r="B14" s="117" t="s">
        <v>212</v>
      </c>
      <c r="C14" s="117"/>
      <c r="D14" s="117"/>
      <c r="E14" s="117"/>
      <c r="F14" s="117"/>
      <c r="G14" s="187"/>
      <c r="H14" s="117"/>
      <c r="I14" s="117"/>
      <c r="J14" s="117"/>
      <c r="K14" s="118"/>
      <c r="N14" s="164">
        <f>Design!A33</f>
        <v>0</v>
      </c>
      <c r="O14" s="62">
        <f>Design!G33</f>
      </c>
      <c r="P14">
        <f>Design!Q33</f>
        <v>0</v>
      </c>
      <c r="Q14" s="6">
        <f t="shared" si="4"/>
      </c>
      <c r="R14" s="6">
        <f t="shared" si="2"/>
      </c>
      <c r="S14" s="6">
        <f t="shared" si="3"/>
      </c>
      <c r="T14" s="6">
        <f t="shared" si="3"/>
      </c>
      <c r="U14" s="6">
        <f t="shared" si="3"/>
      </c>
      <c r="V14" s="6">
        <f t="shared" si="3"/>
      </c>
      <c r="W14" s="6">
        <f t="shared" si="3"/>
      </c>
      <c r="X14" s="6">
        <f t="shared" si="3"/>
      </c>
    </row>
    <row r="15" spans="1:24" ht="12.75">
      <c r="A15" s="184"/>
      <c r="B15" s="117" t="s">
        <v>213</v>
      </c>
      <c r="C15" s="117"/>
      <c r="D15" s="117"/>
      <c r="E15" s="117"/>
      <c r="F15" s="117"/>
      <c r="G15" s="117"/>
      <c r="H15" s="117"/>
      <c r="I15" s="117"/>
      <c r="J15" s="117"/>
      <c r="K15" s="118"/>
      <c r="N15" s="164">
        <f>Design!A34</f>
        <v>0</v>
      </c>
      <c r="O15" s="62">
        <f>Design!G34</f>
      </c>
      <c r="P15">
        <f>Design!Q34</f>
        <v>0</v>
      </c>
      <c r="Q15" s="6">
        <f t="shared" si="4"/>
      </c>
      <c r="R15" s="6">
        <f t="shared" si="2"/>
      </c>
      <c r="S15" s="6">
        <f t="shared" si="3"/>
      </c>
      <c r="T15" s="6">
        <f t="shared" si="3"/>
      </c>
      <c r="U15" s="6">
        <f t="shared" si="3"/>
      </c>
      <c r="V15" s="6">
        <f t="shared" si="3"/>
      </c>
      <c r="W15" s="6">
        <f t="shared" si="3"/>
      </c>
      <c r="X15" s="6">
        <f t="shared" si="3"/>
      </c>
    </row>
    <row r="16" spans="1:24" ht="12.75">
      <c r="A16" s="184"/>
      <c r="B16" s="117" t="s">
        <v>276</v>
      </c>
      <c r="C16" s="185"/>
      <c r="D16" s="117" t="s">
        <v>275</v>
      </c>
      <c r="E16" s="185"/>
      <c r="F16" s="117" t="s">
        <v>225</v>
      </c>
      <c r="G16" s="187"/>
      <c r="H16" s="187"/>
      <c r="I16" s="187"/>
      <c r="J16" s="187"/>
      <c r="K16" s="188"/>
      <c r="N16" s="164">
        <f>Design!A35</f>
        <v>0</v>
      </c>
      <c r="O16" s="62">
        <f>Design!G35</f>
      </c>
      <c r="P16">
        <f>Design!Q35</f>
        <v>0</v>
      </c>
      <c r="Q16" s="6">
        <f t="shared" si="4"/>
      </c>
      <c r="R16" s="6">
        <f t="shared" si="2"/>
      </c>
      <c r="S16" s="6">
        <f t="shared" si="3"/>
      </c>
      <c r="T16" s="6">
        <f t="shared" si="3"/>
      </c>
      <c r="U16" s="6">
        <f t="shared" si="3"/>
      </c>
      <c r="V16" s="6">
        <f t="shared" si="3"/>
      </c>
      <c r="W16" s="6">
        <f t="shared" si="3"/>
      </c>
      <c r="X16" s="6">
        <f t="shared" si="3"/>
      </c>
    </row>
    <row r="17" spans="1:24" ht="12.75">
      <c r="A17" s="184"/>
      <c r="B17" s="117" t="s">
        <v>276</v>
      </c>
      <c r="C17" s="185"/>
      <c r="D17" s="117" t="s">
        <v>275</v>
      </c>
      <c r="E17" s="185"/>
      <c r="F17" s="117" t="s">
        <v>225</v>
      </c>
      <c r="G17" s="187"/>
      <c r="H17" s="187"/>
      <c r="I17" s="187"/>
      <c r="J17" s="187"/>
      <c r="K17" s="188"/>
      <c r="N17" s="164">
        <f>Design!A36</f>
        <v>0</v>
      </c>
      <c r="O17" s="62">
        <f>Design!G36</f>
      </c>
      <c r="P17">
        <f>Design!Q36</f>
        <v>0</v>
      </c>
      <c r="Q17" s="6">
        <f t="shared" si="4"/>
      </c>
      <c r="R17" s="6">
        <f t="shared" si="2"/>
      </c>
      <c r="S17" s="6">
        <f t="shared" si="3"/>
      </c>
      <c r="T17" s="6">
        <f t="shared" si="3"/>
      </c>
      <c r="U17" s="6">
        <f t="shared" si="3"/>
      </c>
      <c r="V17" s="6">
        <f t="shared" si="3"/>
      </c>
      <c r="W17" s="6">
        <f t="shared" si="3"/>
      </c>
      <c r="X17" s="6">
        <f t="shared" si="3"/>
      </c>
    </row>
    <row r="18" spans="1:24" ht="12.75">
      <c r="A18" s="184"/>
      <c r="B18" s="117" t="s">
        <v>216</v>
      </c>
      <c r="C18" s="117"/>
      <c r="D18" s="117"/>
      <c r="E18" s="117"/>
      <c r="F18" s="117"/>
      <c r="G18" s="187"/>
      <c r="H18" s="187"/>
      <c r="I18" s="187"/>
      <c r="J18" s="187"/>
      <c r="K18" s="118"/>
      <c r="N18" s="164">
        <f>Design!A37</f>
        <v>0</v>
      </c>
      <c r="O18" s="62">
        <f>Design!G37</f>
      </c>
      <c r="P18">
        <f>Design!Q37</f>
        <v>0</v>
      </c>
      <c r="Q18" s="6">
        <f t="shared" si="4"/>
      </c>
      <c r="R18" s="6">
        <f t="shared" si="2"/>
      </c>
      <c r="S18" s="6">
        <f t="shared" si="3"/>
      </c>
      <c r="T18" s="6">
        <f t="shared" si="3"/>
      </c>
      <c r="U18" s="6">
        <f t="shared" si="3"/>
      </c>
      <c r="V18" s="6">
        <f t="shared" si="3"/>
      </c>
      <c r="W18" s="6">
        <f t="shared" si="3"/>
      </c>
      <c r="X18" s="6">
        <f t="shared" si="3"/>
      </c>
    </row>
    <row r="19" spans="1:24" ht="12.75">
      <c r="A19" s="184"/>
      <c r="B19" s="117" t="s">
        <v>217</v>
      </c>
      <c r="C19" s="117"/>
      <c r="D19" s="117"/>
      <c r="E19" s="187"/>
      <c r="F19" s="187"/>
      <c r="G19" s="187"/>
      <c r="H19" s="187"/>
      <c r="I19" s="187"/>
      <c r="J19" s="187"/>
      <c r="K19" s="188"/>
      <c r="N19" s="164">
        <f>Design!A38</f>
        <v>0</v>
      </c>
      <c r="O19" s="62">
        <f>Design!G38</f>
      </c>
      <c r="P19">
        <f>Design!Q38</f>
        <v>0</v>
      </c>
      <c r="Q19" s="6">
        <f t="shared" si="4"/>
      </c>
      <c r="R19" s="6">
        <f t="shared" si="2"/>
      </c>
      <c r="S19" s="6">
        <f t="shared" si="3"/>
      </c>
      <c r="T19" s="6">
        <f t="shared" si="3"/>
      </c>
      <c r="U19" s="6">
        <f t="shared" si="3"/>
      </c>
      <c r="V19" s="6">
        <f t="shared" si="3"/>
      </c>
      <c r="W19" s="6">
        <f t="shared" si="3"/>
      </c>
      <c r="X19" s="6">
        <f t="shared" si="3"/>
      </c>
    </row>
    <row r="20" spans="1:24" ht="12.75">
      <c r="A20" s="184"/>
      <c r="B20" s="117" t="s">
        <v>214</v>
      </c>
      <c r="C20" s="117"/>
      <c r="D20" s="117"/>
      <c r="E20" s="187"/>
      <c r="F20" s="187"/>
      <c r="G20" s="187"/>
      <c r="H20" s="187"/>
      <c r="I20" s="187"/>
      <c r="J20" s="187"/>
      <c r="K20" s="188"/>
      <c r="N20" s="164">
        <f>Design!A39</f>
        <v>0</v>
      </c>
      <c r="O20" s="62">
        <f>Design!G39</f>
      </c>
      <c r="P20">
        <f>Design!Q39</f>
        <v>0</v>
      </c>
      <c r="Q20" s="6">
        <f t="shared" si="4"/>
      </c>
      <c r="R20" s="6">
        <f t="shared" si="2"/>
      </c>
      <c r="S20" s="6">
        <f t="shared" si="3"/>
      </c>
      <c r="T20" s="6">
        <f t="shared" si="3"/>
      </c>
      <c r="U20" s="6">
        <f t="shared" si="3"/>
      </c>
      <c r="V20" s="6">
        <f t="shared" si="3"/>
      </c>
      <c r="W20" s="6">
        <f t="shared" si="3"/>
      </c>
      <c r="X20" s="6">
        <f t="shared" si="3"/>
      </c>
    </row>
    <row r="21" spans="1:24" ht="12.75">
      <c r="A21" s="184"/>
      <c r="B21" s="117" t="s">
        <v>215</v>
      </c>
      <c r="C21" s="117"/>
      <c r="D21" s="117"/>
      <c r="E21" s="187"/>
      <c r="F21" s="187"/>
      <c r="G21" s="187"/>
      <c r="H21" s="187"/>
      <c r="I21" s="187"/>
      <c r="J21" s="187"/>
      <c r="K21" s="188"/>
      <c r="N21" s="164">
        <f>Design!A40</f>
        <v>0</v>
      </c>
      <c r="O21" s="62">
        <f>Design!G40</f>
      </c>
      <c r="P21">
        <f>Design!Q40</f>
        <v>0</v>
      </c>
      <c r="Q21" s="6">
        <f t="shared" si="4"/>
      </c>
      <c r="R21" s="6">
        <f t="shared" si="2"/>
      </c>
      <c r="S21" s="6">
        <f t="shared" si="3"/>
      </c>
      <c r="T21" s="6">
        <f t="shared" si="3"/>
      </c>
      <c r="U21" s="6">
        <f t="shared" si="3"/>
      </c>
      <c r="V21" s="6">
        <f t="shared" si="3"/>
      </c>
      <c r="W21" s="6">
        <f t="shared" si="3"/>
      </c>
      <c r="X21" s="6">
        <f t="shared" si="3"/>
      </c>
    </row>
    <row r="22" spans="1:24" ht="12.75">
      <c r="A22" s="189"/>
      <c r="B22" s="187"/>
      <c r="C22" s="187"/>
      <c r="D22" s="187"/>
      <c r="E22" s="187"/>
      <c r="F22" s="187"/>
      <c r="G22" s="187"/>
      <c r="H22" s="187"/>
      <c r="I22" s="187"/>
      <c r="J22" s="187"/>
      <c r="K22" s="188"/>
      <c r="N22" s="164">
        <f>Design!A41</f>
        <v>0</v>
      </c>
      <c r="O22" s="62">
        <f>Design!G41</f>
      </c>
      <c r="P22">
        <f>Design!Q41</f>
        <v>0</v>
      </c>
      <c r="Q22" s="6">
        <f t="shared" si="4"/>
      </c>
      <c r="R22" s="6">
        <f t="shared" si="2"/>
      </c>
      <c r="S22" s="6">
        <f t="shared" si="3"/>
      </c>
      <c r="T22" s="6">
        <f t="shared" si="3"/>
      </c>
      <c r="U22" s="6">
        <f t="shared" si="3"/>
      </c>
      <c r="V22" s="6">
        <f t="shared" si="3"/>
      </c>
      <c r="W22" s="6">
        <f t="shared" si="3"/>
      </c>
      <c r="X22" s="6">
        <f t="shared" si="3"/>
      </c>
    </row>
    <row r="23" spans="1:24" ht="12.75">
      <c r="A23" s="119" t="s">
        <v>274</v>
      </c>
      <c r="B23" s="187"/>
      <c r="C23" s="186"/>
      <c r="D23" s="186"/>
      <c r="E23" s="186"/>
      <c r="F23" s="186"/>
      <c r="G23" s="186"/>
      <c r="H23" s="186"/>
      <c r="I23" s="186"/>
      <c r="J23" s="186"/>
      <c r="K23" s="190"/>
      <c r="N23" s="164">
        <f>Design!A42</f>
        <v>0</v>
      </c>
      <c r="O23" s="62">
        <f>Design!G42</f>
      </c>
      <c r="P23">
        <f>Design!Q42</f>
        <v>0</v>
      </c>
      <c r="Q23" s="6">
        <f t="shared" si="4"/>
      </c>
      <c r="R23" s="6">
        <f t="shared" si="2"/>
      </c>
      <c r="S23" s="6">
        <f t="shared" si="3"/>
      </c>
      <c r="T23" s="6">
        <f t="shared" si="3"/>
      </c>
      <c r="U23" s="6">
        <f t="shared" si="3"/>
      </c>
      <c r="V23" s="6">
        <f t="shared" si="3"/>
      </c>
      <c r="W23" s="6">
        <f t="shared" si="3"/>
      </c>
      <c r="X23" s="6">
        <f t="shared" si="3"/>
      </c>
    </row>
    <row r="24" spans="1:24" ht="12.75">
      <c r="A24" s="189"/>
      <c r="B24" s="187"/>
      <c r="C24" s="187"/>
      <c r="D24" s="187"/>
      <c r="E24" s="187"/>
      <c r="F24" s="187"/>
      <c r="G24" s="187"/>
      <c r="H24" s="187"/>
      <c r="I24" s="187"/>
      <c r="J24" s="187"/>
      <c r="K24" s="188"/>
      <c r="N24" s="164">
        <f>Design!A43</f>
        <v>0</v>
      </c>
      <c r="O24" s="62">
        <f>Design!G43</f>
      </c>
      <c r="P24">
        <f>Design!Q43</f>
        <v>0</v>
      </c>
      <c r="Q24" s="6">
        <f t="shared" si="4"/>
      </c>
      <c r="R24" s="6">
        <f t="shared" si="2"/>
      </c>
      <c r="S24" s="6">
        <f t="shared" si="3"/>
      </c>
      <c r="T24" s="6">
        <f t="shared" si="3"/>
      </c>
      <c r="U24" s="6">
        <f t="shared" si="3"/>
      </c>
      <c r="V24" s="6">
        <f t="shared" si="3"/>
      </c>
      <c r="W24" s="6">
        <f t="shared" si="3"/>
      </c>
      <c r="X24" s="6">
        <f t="shared" si="3"/>
      </c>
    </row>
    <row r="25" spans="1:24" ht="12.75">
      <c r="A25" s="119" t="s">
        <v>218</v>
      </c>
      <c r="B25" s="117"/>
      <c r="C25" s="117"/>
      <c r="D25" s="117"/>
      <c r="E25" s="117"/>
      <c r="F25" s="117"/>
      <c r="G25" s="117"/>
      <c r="H25" s="117"/>
      <c r="I25" s="117"/>
      <c r="J25" s="117"/>
      <c r="K25" s="118"/>
      <c r="N25" s="164">
        <f>Design!A44</f>
        <v>0</v>
      </c>
      <c r="O25" s="62">
        <f>Design!G44</f>
      </c>
      <c r="P25">
        <f>Design!Q44</f>
        <v>0</v>
      </c>
      <c r="Q25" s="6">
        <f t="shared" si="4"/>
      </c>
      <c r="R25" s="6">
        <f t="shared" si="2"/>
      </c>
      <c r="S25" s="6">
        <f t="shared" si="3"/>
      </c>
      <c r="T25" s="6">
        <f t="shared" si="3"/>
      </c>
      <c r="U25" s="6">
        <f t="shared" si="3"/>
      </c>
      <c r="V25" s="6">
        <f t="shared" si="3"/>
      </c>
      <c r="W25" s="6">
        <f t="shared" si="3"/>
      </c>
      <c r="X25" s="6">
        <f t="shared" si="3"/>
      </c>
    </row>
    <row r="26" spans="1:24" ht="13.5" thickBot="1">
      <c r="A26" s="120"/>
      <c r="B26" s="121"/>
      <c r="C26" s="121"/>
      <c r="D26" s="121"/>
      <c r="E26" s="121"/>
      <c r="F26" s="121"/>
      <c r="G26" s="121"/>
      <c r="H26" s="121"/>
      <c r="I26" s="121"/>
      <c r="J26" s="121"/>
      <c r="K26" s="122"/>
      <c r="N26" s="164">
        <f>Design!A45</f>
        <v>0</v>
      </c>
      <c r="O26" s="62">
        <f>Design!G45</f>
      </c>
      <c r="P26">
        <f>Design!Q45</f>
        <v>0</v>
      </c>
      <c r="Q26" s="6">
        <f t="shared" si="4"/>
      </c>
      <c r="R26" s="6">
        <f t="shared" si="2"/>
      </c>
      <c r="S26" s="6">
        <f t="shared" si="3"/>
      </c>
      <c r="T26" s="6">
        <f t="shared" si="3"/>
      </c>
      <c r="U26" s="6">
        <f t="shared" si="3"/>
      </c>
      <c r="V26" s="6">
        <f t="shared" si="3"/>
      </c>
      <c r="W26" s="6">
        <f t="shared" si="3"/>
      </c>
      <c r="X26" s="6">
        <f t="shared" si="3"/>
      </c>
    </row>
    <row r="27" spans="1:24" ht="15.75" thickTop="1">
      <c r="A27" s="199" t="s">
        <v>278</v>
      </c>
      <c r="B27" s="191"/>
      <c r="C27" s="191"/>
      <c r="D27" s="191"/>
      <c r="E27" s="191"/>
      <c r="F27" s="191"/>
      <c r="G27" s="191"/>
      <c r="H27" s="191"/>
      <c r="I27" s="191"/>
      <c r="J27" s="191"/>
      <c r="K27" s="192"/>
      <c r="N27" s="164">
        <f>Design!A46</f>
        <v>0</v>
      </c>
      <c r="O27" s="62">
        <f>Design!G46</f>
      </c>
      <c r="P27">
        <f>Design!Q46</f>
        <v>0</v>
      </c>
      <c r="Q27" s="6">
        <f t="shared" si="4"/>
      </c>
      <c r="R27" s="6">
        <f t="shared" si="2"/>
      </c>
      <c r="S27" s="6">
        <f t="shared" si="3"/>
      </c>
      <c r="T27" s="6">
        <f t="shared" si="3"/>
      </c>
      <c r="U27" s="6">
        <f t="shared" si="3"/>
      </c>
      <c r="V27" s="6">
        <f t="shared" si="3"/>
      </c>
      <c r="W27" s="6">
        <f t="shared" si="3"/>
      </c>
      <c r="X27" s="6">
        <f t="shared" si="3"/>
      </c>
    </row>
    <row r="28" spans="1:24" ht="12.75">
      <c r="A28" s="193"/>
      <c r="B28" s="194"/>
      <c r="C28" s="194"/>
      <c r="D28" s="194"/>
      <c r="E28" s="194"/>
      <c r="F28" s="194"/>
      <c r="G28" s="194"/>
      <c r="H28" s="194"/>
      <c r="I28" s="194"/>
      <c r="J28" s="194"/>
      <c r="K28" s="195"/>
      <c r="N28" s="164">
        <f>Design!A47</f>
        <v>0</v>
      </c>
      <c r="O28" s="62">
        <f>Design!G47</f>
      </c>
      <c r="P28">
        <f>Design!Q47</f>
        <v>0</v>
      </c>
      <c r="Q28" s="6">
        <f t="shared" si="4"/>
      </c>
      <c r="R28" s="6">
        <f t="shared" si="2"/>
      </c>
      <c r="S28" s="6">
        <f aca="true" t="shared" si="5" ref="S28:X39">IF($P28=S$10,$Q28,"")</f>
      </c>
      <c r="T28" s="6">
        <f t="shared" si="5"/>
      </c>
      <c r="U28" s="6">
        <f t="shared" si="5"/>
      </c>
      <c r="V28" s="6">
        <f t="shared" si="5"/>
      </c>
      <c r="W28" s="6">
        <f t="shared" si="5"/>
      </c>
      <c r="X28" s="6">
        <f t="shared" si="5"/>
      </c>
    </row>
    <row r="29" spans="1:24" ht="12.75">
      <c r="A29" s="193"/>
      <c r="B29" s="194"/>
      <c r="C29" s="194"/>
      <c r="D29" s="194"/>
      <c r="E29" s="194"/>
      <c r="F29" s="194"/>
      <c r="G29" s="194"/>
      <c r="H29" s="194"/>
      <c r="I29" s="194"/>
      <c r="J29" s="194"/>
      <c r="K29" s="195"/>
      <c r="N29" s="164">
        <f>Design!A48</f>
        <v>0</v>
      </c>
      <c r="O29" s="62">
        <f>Design!G48</f>
      </c>
      <c r="P29">
        <f>Design!Q48</f>
        <v>0</v>
      </c>
      <c r="Q29" s="6">
        <f t="shared" si="4"/>
      </c>
      <c r="R29" s="6">
        <f t="shared" si="2"/>
      </c>
      <c r="S29" s="6">
        <f t="shared" si="5"/>
      </c>
      <c r="T29" s="6">
        <f t="shared" si="5"/>
      </c>
      <c r="U29" s="6">
        <f t="shared" si="5"/>
      </c>
      <c r="V29" s="6">
        <f t="shared" si="5"/>
      </c>
      <c r="W29" s="6">
        <f t="shared" si="5"/>
      </c>
      <c r="X29" s="6">
        <f t="shared" si="5"/>
      </c>
    </row>
    <row r="30" spans="1:24" ht="12.75">
      <c r="A30" s="193"/>
      <c r="B30" s="194"/>
      <c r="C30" s="194"/>
      <c r="D30" s="194"/>
      <c r="E30" s="194"/>
      <c r="F30" s="194"/>
      <c r="G30" s="194"/>
      <c r="H30" s="194"/>
      <c r="I30" s="194"/>
      <c r="J30" s="194"/>
      <c r="K30" s="195"/>
      <c r="N30" s="164">
        <f>Design!A49</f>
        <v>0</v>
      </c>
      <c r="O30" s="62">
        <f>Design!G49</f>
      </c>
      <c r="P30">
        <f>Design!Q49</f>
        <v>0</v>
      </c>
      <c r="Q30" s="6">
        <f t="shared" si="4"/>
      </c>
      <c r="R30" s="6">
        <f t="shared" si="2"/>
      </c>
      <c r="S30" s="6">
        <f t="shared" si="5"/>
      </c>
      <c r="T30" s="6">
        <f t="shared" si="5"/>
      </c>
      <c r="U30" s="6">
        <f t="shared" si="5"/>
      </c>
      <c r="V30" s="6">
        <f t="shared" si="5"/>
      </c>
      <c r="W30" s="6">
        <f t="shared" si="5"/>
      </c>
      <c r="X30" s="6">
        <f t="shared" si="5"/>
      </c>
    </row>
    <row r="31" spans="1:24" ht="12.75">
      <c r="A31" s="193"/>
      <c r="B31" s="194"/>
      <c r="C31" s="194"/>
      <c r="D31" s="194"/>
      <c r="E31" s="194"/>
      <c r="F31" s="194"/>
      <c r="G31" s="194"/>
      <c r="H31" s="194"/>
      <c r="I31" s="194"/>
      <c r="J31" s="194"/>
      <c r="K31" s="195"/>
      <c r="N31" s="164">
        <f>Design!A50</f>
        <v>0</v>
      </c>
      <c r="O31" s="62">
        <f>Design!G50</f>
      </c>
      <c r="P31">
        <f>Design!Q50</f>
        <v>0</v>
      </c>
      <c r="Q31" s="6">
        <f t="shared" si="4"/>
      </c>
      <c r="R31" s="6">
        <f t="shared" si="2"/>
      </c>
      <c r="S31" s="6">
        <f t="shared" si="5"/>
      </c>
      <c r="T31" s="6">
        <f t="shared" si="5"/>
      </c>
      <c r="U31" s="6">
        <f t="shared" si="5"/>
      </c>
      <c r="V31" s="6">
        <f t="shared" si="5"/>
      </c>
      <c r="W31" s="6">
        <f t="shared" si="5"/>
      </c>
      <c r="X31" s="6">
        <f t="shared" si="5"/>
      </c>
    </row>
    <row r="32" spans="1:24" ht="12.75">
      <c r="A32" s="193"/>
      <c r="B32" s="194"/>
      <c r="C32" s="194"/>
      <c r="D32" s="194"/>
      <c r="E32" s="194"/>
      <c r="F32" s="194"/>
      <c r="G32" s="194"/>
      <c r="H32" s="194"/>
      <c r="I32" s="194"/>
      <c r="J32" s="194"/>
      <c r="K32" s="195"/>
      <c r="N32" s="164">
        <f>Design!A51</f>
        <v>0</v>
      </c>
      <c r="O32" s="62">
        <f>Design!G51</f>
      </c>
      <c r="P32">
        <f>Design!Q51</f>
        <v>0</v>
      </c>
      <c r="Q32" s="6">
        <f t="shared" si="4"/>
      </c>
      <c r="R32" s="6">
        <f t="shared" si="2"/>
      </c>
      <c r="S32" s="6">
        <f t="shared" si="5"/>
      </c>
      <c r="T32" s="6">
        <f t="shared" si="5"/>
      </c>
      <c r="U32" s="6">
        <f t="shared" si="5"/>
      </c>
      <c r="V32" s="6">
        <f t="shared" si="5"/>
      </c>
      <c r="W32" s="6">
        <f t="shared" si="5"/>
      </c>
      <c r="X32" s="6">
        <f t="shared" si="5"/>
      </c>
    </row>
    <row r="33" spans="1:24" ht="12.75">
      <c r="A33" s="193"/>
      <c r="B33" s="194"/>
      <c r="C33" s="194"/>
      <c r="D33" s="194"/>
      <c r="E33" s="194"/>
      <c r="F33" s="194"/>
      <c r="G33" s="194"/>
      <c r="H33" s="194"/>
      <c r="I33" s="194"/>
      <c r="J33" s="194"/>
      <c r="K33" s="195"/>
      <c r="N33" s="164">
        <f>Design!A52</f>
        <v>0</v>
      </c>
      <c r="O33" s="62">
        <f>Design!G52</f>
      </c>
      <c r="P33">
        <f>Design!Q52</f>
        <v>0</v>
      </c>
      <c r="Q33" s="6">
        <f t="shared" si="4"/>
      </c>
      <c r="R33" s="6">
        <f t="shared" si="2"/>
      </c>
      <c r="S33" s="6">
        <f t="shared" si="5"/>
      </c>
      <c r="T33" s="6">
        <f t="shared" si="5"/>
      </c>
      <c r="U33" s="6">
        <f t="shared" si="5"/>
      </c>
      <c r="V33" s="6">
        <f t="shared" si="5"/>
      </c>
      <c r="W33" s="6">
        <f t="shared" si="5"/>
      </c>
      <c r="X33" s="6">
        <f t="shared" si="5"/>
      </c>
    </row>
    <row r="34" spans="1:24" ht="12.75">
      <c r="A34" s="193"/>
      <c r="B34" s="194"/>
      <c r="C34" s="194"/>
      <c r="D34" s="194"/>
      <c r="E34" s="194"/>
      <c r="F34" s="194"/>
      <c r="G34" s="194"/>
      <c r="H34" s="194"/>
      <c r="I34" s="194"/>
      <c r="J34" s="194"/>
      <c r="K34" s="195"/>
      <c r="N34" s="164">
        <f>Design!A53</f>
        <v>0</v>
      </c>
      <c r="O34" s="62">
        <f>Design!G53</f>
      </c>
      <c r="P34">
        <f>Design!Q53</f>
        <v>0</v>
      </c>
      <c r="Q34" s="6">
        <f t="shared" si="4"/>
      </c>
      <c r="R34" s="6">
        <f t="shared" si="2"/>
      </c>
      <c r="S34" s="6">
        <f t="shared" si="5"/>
      </c>
      <c r="T34" s="6">
        <f t="shared" si="5"/>
      </c>
      <c r="U34" s="6">
        <f t="shared" si="5"/>
      </c>
      <c r="V34" s="6">
        <f t="shared" si="5"/>
      </c>
      <c r="W34" s="6">
        <f t="shared" si="5"/>
      </c>
      <c r="X34" s="6">
        <f t="shared" si="5"/>
      </c>
    </row>
    <row r="35" spans="1:24" ht="12.75">
      <c r="A35" s="193"/>
      <c r="B35" s="194"/>
      <c r="C35" s="194"/>
      <c r="D35" s="194"/>
      <c r="E35" s="194"/>
      <c r="F35" s="194"/>
      <c r="G35" s="194"/>
      <c r="H35" s="194"/>
      <c r="I35" s="194"/>
      <c r="J35" s="194"/>
      <c r="K35" s="195"/>
      <c r="N35" s="164">
        <f>Design!A54</f>
        <v>0</v>
      </c>
      <c r="O35" s="62">
        <f>Design!G54</f>
      </c>
      <c r="P35">
        <f>Design!Q54</f>
        <v>0</v>
      </c>
      <c r="Q35" s="6">
        <f t="shared" si="4"/>
      </c>
      <c r="R35" s="6">
        <f t="shared" si="2"/>
      </c>
      <c r="S35" s="6">
        <f t="shared" si="5"/>
      </c>
      <c r="T35" s="6">
        <f t="shared" si="5"/>
      </c>
      <c r="U35" s="6">
        <f t="shared" si="5"/>
      </c>
      <c r="V35" s="6">
        <f t="shared" si="5"/>
      </c>
      <c r="W35" s="6">
        <f t="shared" si="5"/>
      </c>
      <c r="X35" s="6">
        <f t="shared" si="5"/>
      </c>
    </row>
    <row r="36" spans="1:24" ht="12.75">
      <c r="A36" s="193"/>
      <c r="B36" s="194"/>
      <c r="C36" s="194"/>
      <c r="D36" s="194"/>
      <c r="E36" s="194"/>
      <c r="F36" s="194"/>
      <c r="G36" s="194"/>
      <c r="H36" s="194"/>
      <c r="I36" s="194"/>
      <c r="J36" s="194"/>
      <c r="K36" s="195"/>
      <c r="N36" s="164">
        <f>Design!A55</f>
        <v>0</v>
      </c>
      <c r="O36" s="62">
        <f>Design!G55</f>
      </c>
      <c r="P36">
        <f>Design!Q55</f>
        <v>0</v>
      </c>
      <c r="Q36" s="6">
        <f t="shared" si="4"/>
      </c>
      <c r="R36" s="6">
        <f t="shared" si="2"/>
      </c>
      <c r="S36" s="6">
        <f t="shared" si="5"/>
      </c>
      <c r="T36" s="6">
        <f t="shared" si="5"/>
      </c>
      <c r="U36" s="6">
        <f t="shared" si="5"/>
      </c>
      <c r="V36" s="6">
        <f t="shared" si="5"/>
      </c>
      <c r="W36" s="6">
        <f t="shared" si="5"/>
      </c>
      <c r="X36" s="6">
        <f t="shared" si="5"/>
      </c>
    </row>
    <row r="37" spans="1:24" ht="12.75">
      <c r="A37" s="193"/>
      <c r="B37" s="194"/>
      <c r="C37" s="194"/>
      <c r="D37" s="194"/>
      <c r="E37" s="194"/>
      <c r="F37" s="194"/>
      <c r="G37" s="194"/>
      <c r="H37" s="194"/>
      <c r="I37" s="194"/>
      <c r="J37" s="194"/>
      <c r="K37" s="195"/>
      <c r="N37" s="164">
        <f>Design!A56</f>
        <v>0</v>
      </c>
      <c r="O37" s="62">
        <f>Design!G56</f>
      </c>
      <c r="P37">
        <f>Design!Q56</f>
        <v>0</v>
      </c>
      <c r="Q37" s="6">
        <f t="shared" si="4"/>
      </c>
      <c r="R37" s="6">
        <f t="shared" si="2"/>
      </c>
      <c r="S37" s="6">
        <f t="shared" si="5"/>
      </c>
      <c r="T37" s="6">
        <f t="shared" si="5"/>
      </c>
      <c r="U37" s="6">
        <f t="shared" si="5"/>
      </c>
      <c r="V37" s="6">
        <f t="shared" si="5"/>
      </c>
      <c r="W37" s="6">
        <f t="shared" si="5"/>
      </c>
      <c r="X37" s="6">
        <f t="shared" si="5"/>
      </c>
    </row>
    <row r="38" spans="1:24" ht="12.75">
      <c r="A38" s="193"/>
      <c r="B38" s="194"/>
      <c r="C38" s="194"/>
      <c r="D38" s="194"/>
      <c r="E38" s="194"/>
      <c r="F38" s="194"/>
      <c r="G38" s="194"/>
      <c r="H38" s="194"/>
      <c r="I38" s="194"/>
      <c r="J38" s="194"/>
      <c r="K38" s="195"/>
      <c r="N38" s="164">
        <f>Design!A57</f>
        <v>0</v>
      </c>
      <c r="O38" s="62">
        <f>Design!G57</f>
      </c>
      <c r="P38">
        <f>Design!Q57</f>
        <v>0</v>
      </c>
      <c r="Q38" s="6">
        <f t="shared" si="4"/>
      </c>
      <c r="R38" s="6">
        <f t="shared" si="2"/>
      </c>
      <c r="S38" s="6">
        <f t="shared" si="5"/>
      </c>
      <c r="T38" s="6">
        <f t="shared" si="5"/>
      </c>
      <c r="U38" s="6">
        <f t="shared" si="5"/>
      </c>
      <c r="V38" s="6">
        <f t="shared" si="5"/>
      </c>
      <c r="W38" s="6">
        <f t="shared" si="5"/>
      </c>
      <c r="X38" s="6">
        <f t="shared" si="5"/>
      </c>
    </row>
    <row r="39" spans="1:24" ht="12.75">
      <c r="A39" s="193"/>
      <c r="B39" s="194"/>
      <c r="C39" s="194"/>
      <c r="D39" s="194"/>
      <c r="E39" s="194"/>
      <c r="F39" s="194"/>
      <c r="G39" s="194"/>
      <c r="H39" s="194"/>
      <c r="I39" s="194"/>
      <c r="J39" s="194"/>
      <c r="K39" s="195"/>
      <c r="N39" s="164">
        <f>Design!A58</f>
        <v>0</v>
      </c>
      <c r="O39" s="62">
        <f>Design!G58</f>
      </c>
      <c r="P39">
        <f>Design!Q58</f>
        <v>0</v>
      </c>
      <c r="Q39" s="6">
        <f t="shared" si="4"/>
      </c>
      <c r="R39" s="6">
        <f t="shared" si="2"/>
      </c>
      <c r="S39" s="6">
        <f t="shared" si="5"/>
      </c>
      <c r="T39" s="6">
        <f t="shared" si="5"/>
      </c>
      <c r="U39" s="6">
        <f t="shared" si="5"/>
      </c>
      <c r="V39" s="6">
        <f t="shared" si="5"/>
      </c>
      <c r="W39" s="6">
        <f t="shared" si="5"/>
      </c>
      <c r="X39" s="6">
        <f t="shared" si="5"/>
      </c>
    </row>
    <row r="40" spans="1:24" ht="12.75">
      <c r="A40" s="193"/>
      <c r="B40" s="194"/>
      <c r="C40" s="194"/>
      <c r="D40" s="194"/>
      <c r="E40" s="194"/>
      <c r="F40" s="194"/>
      <c r="G40" s="194"/>
      <c r="H40" s="194"/>
      <c r="I40" s="194"/>
      <c r="J40" s="194"/>
      <c r="K40" s="195"/>
      <c r="N40" s="164">
        <f>Design!A59</f>
        <v>0</v>
      </c>
      <c r="O40" s="62">
        <f>Design!G59</f>
      </c>
      <c r="P40">
        <f>Design!Q59</f>
        <v>0</v>
      </c>
      <c r="Q40" s="6">
        <f t="shared" si="4"/>
      </c>
      <c r="R40" s="6">
        <f t="shared" si="2"/>
      </c>
      <c r="S40" s="6">
        <f aca="true" t="shared" si="6" ref="S40:X51">IF($P40=S$10,$Q40,"")</f>
      </c>
      <c r="T40" s="6">
        <f t="shared" si="6"/>
      </c>
      <c r="U40" s="6">
        <f t="shared" si="6"/>
      </c>
      <c r="V40" s="6">
        <f t="shared" si="6"/>
      </c>
      <c r="W40" s="6">
        <f t="shared" si="6"/>
      </c>
      <c r="X40" s="6">
        <f t="shared" si="6"/>
      </c>
    </row>
    <row r="41" spans="1:24" ht="12.75">
      <c r="A41" s="193"/>
      <c r="B41" s="194"/>
      <c r="C41" s="194"/>
      <c r="D41" s="194"/>
      <c r="E41" s="194"/>
      <c r="F41" s="194"/>
      <c r="G41" s="194"/>
      <c r="H41" s="194"/>
      <c r="I41" s="194"/>
      <c r="J41" s="194"/>
      <c r="K41" s="195"/>
      <c r="N41" s="164">
        <f>Design!A60</f>
        <v>0</v>
      </c>
      <c r="O41" s="62">
        <f>Design!G60</f>
      </c>
      <c r="P41">
        <f>Design!Q60</f>
        <v>0</v>
      </c>
      <c r="Q41" s="6">
        <f t="shared" si="4"/>
      </c>
      <c r="R41" s="6">
        <f t="shared" si="2"/>
      </c>
      <c r="S41" s="6">
        <f t="shared" si="6"/>
      </c>
      <c r="T41" s="6">
        <f t="shared" si="6"/>
      </c>
      <c r="U41" s="6">
        <f t="shared" si="6"/>
      </c>
      <c r="V41" s="6">
        <f t="shared" si="6"/>
      </c>
      <c r="W41" s="6">
        <f t="shared" si="6"/>
      </c>
      <c r="X41" s="6">
        <f t="shared" si="6"/>
      </c>
    </row>
    <row r="42" spans="1:24" ht="12.75">
      <c r="A42" s="193"/>
      <c r="B42" s="194"/>
      <c r="C42" s="194"/>
      <c r="D42" s="194"/>
      <c r="E42" s="194"/>
      <c r="F42" s="194"/>
      <c r="G42" s="194"/>
      <c r="H42" s="194"/>
      <c r="I42" s="194"/>
      <c r="J42" s="194"/>
      <c r="K42" s="195"/>
      <c r="N42" s="164">
        <f>Design!A61</f>
        <v>0</v>
      </c>
      <c r="O42" s="62">
        <f>Design!G61</f>
      </c>
      <c r="P42">
        <f>Design!Q61</f>
        <v>0</v>
      </c>
      <c r="Q42" s="6">
        <f t="shared" si="4"/>
      </c>
      <c r="R42" s="6">
        <f t="shared" si="2"/>
      </c>
      <c r="S42" s="6">
        <f t="shared" si="6"/>
      </c>
      <c r="T42" s="6">
        <f t="shared" si="6"/>
      </c>
      <c r="U42" s="6">
        <f t="shared" si="6"/>
      </c>
      <c r="V42" s="6">
        <f t="shared" si="6"/>
      </c>
      <c r="W42" s="6">
        <f t="shared" si="6"/>
      </c>
      <c r="X42" s="6">
        <f t="shared" si="6"/>
      </c>
    </row>
    <row r="43" spans="1:24" ht="12.75">
      <c r="A43" s="193"/>
      <c r="B43" s="194"/>
      <c r="C43" s="194"/>
      <c r="D43" s="194"/>
      <c r="E43" s="194"/>
      <c r="F43" s="194"/>
      <c r="G43" s="194"/>
      <c r="H43" s="194"/>
      <c r="I43" s="194"/>
      <c r="J43" s="194"/>
      <c r="K43" s="195"/>
      <c r="N43" s="164">
        <f>Design!A62</f>
        <v>0</v>
      </c>
      <c r="O43" s="62">
        <f>Design!G62</f>
      </c>
      <c r="P43">
        <f>Design!Q62</f>
        <v>0</v>
      </c>
      <c r="Q43" s="6">
        <f t="shared" si="4"/>
      </c>
      <c r="R43" s="6">
        <f t="shared" si="2"/>
      </c>
      <c r="S43" s="6">
        <f t="shared" si="6"/>
      </c>
      <c r="T43" s="6">
        <f t="shared" si="6"/>
      </c>
      <c r="U43" s="6">
        <f t="shared" si="6"/>
      </c>
      <c r="V43" s="6">
        <f t="shared" si="6"/>
      </c>
      <c r="W43" s="6">
        <f t="shared" si="6"/>
      </c>
      <c r="X43" s="6">
        <f t="shared" si="6"/>
      </c>
    </row>
    <row r="44" spans="1:24" ht="12.75">
      <c r="A44" s="193"/>
      <c r="B44" s="194"/>
      <c r="C44" s="194"/>
      <c r="D44" s="194"/>
      <c r="E44" s="194"/>
      <c r="F44" s="194"/>
      <c r="G44" s="194"/>
      <c r="H44" s="194"/>
      <c r="I44" s="194"/>
      <c r="J44" s="194"/>
      <c r="K44" s="195"/>
      <c r="N44" s="164">
        <f>Design!A63</f>
        <v>0</v>
      </c>
      <c r="O44" s="62">
        <f>Design!G63</f>
      </c>
      <c r="P44">
        <f>Design!Q63</f>
        <v>0</v>
      </c>
      <c r="Q44" s="6">
        <f t="shared" si="4"/>
      </c>
      <c r="R44" s="6">
        <f t="shared" si="2"/>
      </c>
      <c r="S44" s="6">
        <f t="shared" si="6"/>
      </c>
      <c r="T44" s="6">
        <f t="shared" si="6"/>
      </c>
      <c r="U44" s="6">
        <f t="shared" si="6"/>
      </c>
      <c r="V44" s="6">
        <f t="shared" si="6"/>
      </c>
      <c r="W44" s="6">
        <f t="shared" si="6"/>
      </c>
      <c r="X44" s="6">
        <f t="shared" si="6"/>
      </c>
    </row>
    <row r="45" spans="1:24" ht="12.75">
      <c r="A45" s="193"/>
      <c r="B45" s="194"/>
      <c r="C45" s="194"/>
      <c r="D45" s="194"/>
      <c r="E45" s="194"/>
      <c r="F45" s="194"/>
      <c r="G45" s="194"/>
      <c r="H45" s="194"/>
      <c r="I45" s="194"/>
      <c r="J45" s="194"/>
      <c r="K45" s="195"/>
      <c r="N45" s="164">
        <f>Design!A64</f>
        <v>0</v>
      </c>
      <c r="O45" s="62">
        <f>Design!G64</f>
      </c>
      <c r="P45">
        <f>Design!Q64</f>
        <v>0</v>
      </c>
      <c r="Q45" s="6">
        <f t="shared" si="4"/>
      </c>
      <c r="R45" s="6">
        <f t="shared" si="2"/>
      </c>
      <c r="S45" s="6">
        <f t="shared" si="6"/>
      </c>
      <c r="T45" s="6">
        <f t="shared" si="6"/>
      </c>
      <c r="U45" s="6">
        <f t="shared" si="6"/>
      </c>
      <c r="V45" s="6">
        <f t="shared" si="6"/>
      </c>
      <c r="W45" s="6">
        <f t="shared" si="6"/>
      </c>
      <c r="X45" s="6">
        <f t="shared" si="6"/>
      </c>
    </row>
    <row r="46" spans="1:24" ht="12.75">
      <c r="A46" s="193"/>
      <c r="B46" s="194"/>
      <c r="C46" s="194"/>
      <c r="D46" s="194"/>
      <c r="E46" s="194"/>
      <c r="F46" s="194"/>
      <c r="G46" s="194"/>
      <c r="H46" s="194"/>
      <c r="I46" s="194"/>
      <c r="J46" s="194"/>
      <c r="K46" s="195"/>
      <c r="N46" s="164">
        <f>Design!A65</f>
        <v>0</v>
      </c>
      <c r="O46" s="62">
        <f>Design!G65</f>
      </c>
      <c r="P46">
        <f>Design!Q65</f>
        <v>0</v>
      </c>
      <c r="Q46" s="6">
        <f t="shared" si="4"/>
      </c>
      <c r="R46" s="6">
        <f t="shared" si="2"/>
      </c>
      <c r="S46" s="6">
        <f t="shared" si="6"/>
      </c>
      <c r="T46" s="6">
        <f t="shared" si="6"/>
      </c>
      <c r="U46" s="6">
        <f t="shared" si="6"/>
      </c>
      <c r="V46" s="6">
        <f t="shared" si="6"/>
      </c>
      <c r="W46" s="6">
        <f t="shared" si="6"/>
      </c>
      <c r="X46" s="6">
        <f t="shared" si="6"/>
      </c>
    </row>
    <row r="47" spans="1:24" ht="12.75">
      <c r="A47" s="193"/>
      <c r="B47" s="194"/>
      <c r="C47" s="194"/>
      <c r="D47" s="194"/>
      <c r="E47" s="194"/>
      <c r="F47" s="194"/>
      <c r="G47" s="194"/>
      <c r="H47" s="194"/>
      <c r="I47" s="194"/>
      <c r="J47" s="194"/>
      <c r="K47" s="195"/>
      <c r="N47" s="164">
        <f>Design!A66</f>
        <v>0</v>
      </c>
      <c r="O47" s="62">
        <f>Design!G66</f>
      </c>
      <c r="P47">
        <f>Design!Q66</f>
        <v>0</v>
      </c>
      <c r="Q47" s="6">
        <f t="shared" si="4"/>
      </c>
      <c r="R47" s="6">
        <f t="shared" si="2"/>
      </c>
      <c r="S47" s="6">
        <f t="shared" si="6"/>
      </c>
      <c r="T47" s="6">
        <f t="shared" si="6"/>
      </c>
      <c r="U47" s="6">
        <f t="shared" si="6"/>
      </c>
      <c r="V47" s="6">
        <f t="shared" si="6"/>
      </c>
      <c r="W47" s="6">
        <f t="shared" si="6"/>
      </c>
      <c r="X47" s="6">
        <f t="shared" si="6"/>
      </c>
    </row>
    <row r="48" spans="1:24" ht="12.75">
      <c r="A48" s="193"/>
      <c r="B48" s="194"/>
      <c r="C48" s="194"/>
      <c r="D48" s="194"/>
      <c r="E48" s="194"/>
      <c r="F48" s="194"/>
      <c r="G48" s="194"/>
      <c r="H48" s="194"/>
      <c r="I48" s="194"/>
      <c r="J48" s="194"/>
      <c r="K48" s="195"/>
      <c r="N48" s="164">
        <f>Design!A67</f>
        <v>0</v>
      </c>
      <c r="O48" s="62">
        <f>Design!G67</f>
      </c>
      <c r="P48">
        <f>Design!Q67</f>
        <v>0</v>
      </c>
      <c r="Q48" s="6">
        <f t="shared" si="4"/>
      </c>
      <c r="R48" s="6">
        <f t="shared" si="2"/>
      </c>
      <c r="S48" s="6">
        <f t="shared" si="6"/>
      </c>
      <c r="T48" s="6">
        <f t="shared" si="6"/>
      </c>
      <c r="U48" s="6">
        <f t="shared" si="6"/>
      </c>
      <c r="V48" s="6">
        <f t="shared" si="6"/>
      </c>
      <c r="W48" s="6">
        <f t="shared" si="6"/>
      </c>
      <c r="X48" s="6">
        <f t="shared" si="6"/>
      </c>
    </row>
    <row r="49" spans="1:24" ht="12.75">
      <c r="A49" s="193"/>
      <c r="B49" s="194"/>
      <c r="C49" s="194"/>
      <c r="D49" s="194"/>
      <c r="E49" s="194"/>
      <c r="F49" s="194"/>
      <c r="G49" s="194"/>
      <c r="H49" s="194"/>
      <c r="I49" s="194"/>
      <c r="J49" s="194"/>
      <c r="K49" s="195"/>
      <c r="N49" s="164">
        <f>Design!A68</f>
        <v>0</v>
      </c>
      <c r="O49" s="62">
        <f>Design!G68</f>
      </c>
      <c r="P49">
        <f>Design!Q68</f>
        <v>0</v>
      </c>
      <c r="Q49" s="6">
        <f t="shared" si="4"/>
      </c>
      <c r="R49" s="6">
        <f t="shared" si="2"/>
      </c>
      <c r="S49" s="6">
        <f t="shared" si="6"/>
      </c>
      <c r="T49" s="6">
        <f t="shared" si="6"/>
      </c>
      <c r="U49" s="6">
        <f t="shared" si="6"/>
      </c>
      <c r="V49" s="6">
        <f t="shared" si="6"/>
      </c>
      <c r="W49" s="6">
        <f t="shared" si="6"/>
      </c>
      <c r="X49" s="6">
        <f t="shared" si="6"/>
      </c>
    </row>
    <row r="50" spans="1:24" ht="12.75">
      <c r="A50" s="193"/>
      <c r="B50" s="194"/>
      <c r="C50" s="194"/>
      <c r="D50" s="194"/>
      <c r="E50" s="194"/>
      <c r="F50" s="194"/>
      <c r="G50" s="194"/>
      <c r="H50" s="194"/>
      <c r="I50" s="194"/>
      <c r="J50" s="194"/>
      <c r="K50" s="195"/>
      <c r="N50" s="164">
        <f>Design!A69</f>
        <v>0</v>
      </c>
      <c r="O50" s="62">
        <f>Design!G69</f>
      </c>
      <c r="P50">
        <f>Design!Q69</f>
        <v>0</v>
      </c>
      <c r="Q50" s="6">
        <f t="shared" si="4"/>
      </c>
      <c r="R50" s="6">
        <f t="shared" si="2"/>
      </c>
      <c r="S50" s="6">
        <f t="shared" si="6"/>
      </c>
      <c r="T50" s="6">
        <f t="shared" si="6"/>
      </c>
      <c r="U50" s="6">
        <f t="shared" si="6"/>
      </c>
      <c r="V50" s="6">
        <f t="shared" si="6"/>
      </c>
      <c r="W50" s="6">
        <f t="shared" si="6"/>
      </c>
      <c r="X50" s="6">
        <f t="shared" si="6"/>
      </c>
    </row>
    <row r="51" spans="1:24" ht="12.75">
      <c r="A51" s="193"/>
      <c r="B51" s="194"/>
      <c r="C51" s="194"/>
      <c r="D51" s="194"/>
      <c r="E51" s="194"/>
      <c r="F51" s="194"/>
      <c r="G51" s="194"/>
      <c r="H51" s="194"/>
      <c r="I51" s="194"/>
      <c r="J51" s="194"/>
      <c r="K51" s="195"/>
      <c r="N51" s="164">
        <f>Design!A70</f>
        <v>0</v>
      </c>
      <c r="O51" s="62">
        <f>Design!G70</f>
      </c>
      <c r="P51">
        <f>Design!Q70</f>
        <v>0</v>
      </c>
      <c r="Q51" s="6">
        <f t="shared" si="4"/>
      </c>
      <c r="R51" s="6">
        <f t="shared" si="2"/>
      </c>
      <c r="S51" s="6">
        <f t="shared" si="6"/>
      </c>
      <c r="T51" s="6">
        <f t="shared" si="6"/>
      </c>
      <c r="U51" s="6">
        <f t="shared" si="6"/>
      </c>
      <c r="V51" s="6">
        <f t="shared" si="6"/>
      </c>
      <c r="W51" s="6">
        <f t="shared" si="6"/>
      </c>
      <c r="X51" s="6">
        <f t="shared" si="6"/>
      </c>
    </row>
    <row r="52" spans="1:24" ht="12.75">
      <c r="A52" s="193"/>
      <c r="B52" s="194"/>
      <c r="C52" s="194"/>
      <c r="D52" s="194"/>
      <c r="E52" s="194"/>
      <c r="F52" s="194"/>
      <c r="G52" s="194"/>
      <c r="H52" s="194"/>
      <c r="I52" s="194"/>
      <c r="J52" s="194"/>
      <c r="K52" s="195"/>
      <c r="Q52" s="165">
        <f>SUM(Q12:Q51)</f>
        <v>0</v>
      </c>
      <c r="R52" s="165">
        <f>SUM(R12:R51)</f>
        <v>0</v>
      </c>
      <c r="S52" s="165">
        <f aca="true" t="shared" si="7" ref="S52:X52">SUM(S12:S51)</f>
        <v>0</v>
      </c>
      <c r="T52" s="165">
        <f t="shared" si="7"/>
        <v>0</v>
      </c>
      <c r="U52" s="165">
        <f t="shared" si="7"/>
        <v>0</v>
      </c>
      <c r="V52" s="165">
        <f t="shared" si="7"/>
        <v>0</v>
      </c>
      <c r="W52" s="165">
        <f t="shared" si="7"/>
        <v>0</v>
      </c>
      <c r="X52" s="165">
        <f t="shared" si="7"/>
        <v>0</v>
      </c>
    </row>
    <row r="53" spans="1:17" ht="12.75">
      <c r="A53" s="193"/>
      <c r="B53" s="194"/>
      <c r="C53" s="194"/>
      <c r="D53" s="194"/>
      <c r="E53" s="194"/>
      <c r="F53" s="194"/>
      <c r="G53" s="194"/>
      <c r="H53" s="194"/>
      <c r="I53" s="194"/>
      <c r="J53" s="194"/>
      <c r="K53" s="195"/>
      <c r="Q53" t="s">
        <v>273</v>
      </c>
    </row>
    <row r="54" spans="1:17" ht="12.75">
      <c r="A54" s="193"/>
      <c r="B54" s="194"/>
      <c r="C54" s="194"/>
      <c r="D54" s="194"/>
      <c r="E54" s="194"/>
      <c r="F54" s="194"/>
      <c r="G54" s="194"/>
      <c r="H54" s="194"/>
      <c r="I54" s="194"/>
      <c r="J54" s="194"/>
      <c r="K54" s="195"/>
      <c r="Q54" t="s">
        <v>272</v>
      </c>
    </row>
    <row r="55" spans="1:11" ht="12.75">
      <c r="A55" s="193"/>
      <c r="B55" s="194"/>
      <c r="C55" s="194"/>
      <c r="D55" s="194"/>
      <c r="E55" s="194"/>
      <c r="F55" s="194"/>
      <c r="G55" s="194"/>
      <c r="H55" s="194"/>
      <c r="I55" s="194"/>
      <c r="J55" s="194"/>
      <c r="K55" s="195"/>
    </row>
    <row r="56" spans="1:11" ht="12.75">
      <c r="A56" s="193"/>
      <c r="B56" s="194"/>
      <c r="C56" s="194"/>
      <c r="D56" s="194"/>
      <c r="E56" s="194"/>
      <c r="F56" s="194"/>
      <c r="G56" s="194"/>
      <c r="H56" s="194"/>
      <c r="I56" s="194"/>
      <c r="J56" s="194"/>
      <c r="K56" s="195"/>
    </row>
    <row r="57" spans="1:11" ht="12.75">
      <c r="A57" s="193"/>
      <c r="B57" s="194"/>
      <c r="C57" s="194"/>
      <c r="D57" s="194"/>
      <c r="E57" s="194"/>
      <c r="F57" s="194"/>
      <c r="G57" s="194"/>
      <c r="H57" s="194"/>
      <c r="I57" s="194"/>
      <c r="J57" s="194"/>
      <c r="K57" s="195"/>
    </row>
    <row r="58" spans="1:11" ht="12.75">
      <c r="A58" s="193"/>
      <c r="B58" s="194"/>
      <c r="C58" s="194"/>
      <c r="D58" s="194"/>
      <c r="E58" s="194"/>
      <c r="F58" s="194"/>
      <c r="G58" s="194"/>
      <c r="H58" s="194"/>
      <c r="I58" s="194"/>
      <c r="J58" s="194"/>
      <c r="K58" s="195"/>
    </row>
    <row r="59" spans="1:11" ht="12.75">
      <c r="A59" s="193"/>
      <c r="B59" s="194"/>
      <c r="C59" s="194"/>
      <c r="D59" s="194"/>
      <c r="E59" s="194"/>
      <c r="F59" s="194"/>
      <c r="G59" s="194"/>
      <c r="H59" s="194"/>
      <c r="I59" s="194"/>
      <c r="J59" s="194"/>
      <c r="K59" s="195"/>
    </row>
    <row r="60" spans="1:11" ht="12.75">
      <c r="A60" s="193"/>
      <c r="B60" s="194"/>
      <c r="C60" s="194"/>
      <c r="D60" s="194"/>
      <c r="E60" s="194"/>
      <c r="F60" s="194"/>
      <c r="G60" s="194"/>
      <c r="H60" s="194"/>
      <c r="I60" s="194"/>
      <c r="J60" s="194"/>
      <c r="K60" s="195"/>
    </row>
    <row r="61" spans="1:11" ht="12.75">
      <c r="A61" s="193"/>
      <c r="B61" s="194"/>
      <c r="C61" s="194"/>
      <c r="D61" s="194"/>
      <c r="E61" s="194"/>
      <c r="F61" s="194"/>
      <c r="G61" s="194"/>
      <c r="H61" s="194"/>
      <c r="I61" s="194"/>
      <c r="J61" s="194"/>
      <c r="K61" s="195"/>
    </row>
    <row r="62" spans="1:11" ht="12.75">
      <c r="A62" s="193"/>
      <c r="B62" s="194"/>
      <c r="C62" s="194"/>
      <c r="D62" s="194"/>
      <c r="E62" s="194"/>
      <c r="F62" s="194"/>
      <c r="G62" s="194"/>
      <c r="H62" s="194"/>
      <c r="I62" s="194"/>
      <c r="J62" s="194"/>
      <c r="K62" s="195"/>
    </row>
    <row r="63" spans="1:11" ht="12.75">
      <c r="A63" s="193"/>
      <c r="B63" s="194"/>
      <c r="C63" s="194"/>
      <c r="D63" s="194"/>
      <c r="E63" s="194"/>
      <c r="F63" s="194"/>
      <c r="G63" s="194"/>
      <c r="H63" s="194"/>
      <c r="I63" s="194"/>
      <c r="J63" s="194"/>
      <c r="K63" s="195"/>
    </row>
    <row r="64" spans="1:11" ht="12.75">
      <c r="A64" s="196"/>
      <c r="B64" s="197"/>
      <c r="C64" s="197"/>
      <c r="D64" s="197"/>
      <c r="E64" s="197"/>
      <c r="F64" s="197"/>
      <c r="G64" s="197"/>
      <c r="H64" s="197"/>
      <c r="I64" s="197"/>
      <c r="J64" s="197"/>
      <c r="K64" s="198"/>
    </row>
  </sheetData>
  <sheetProtection/>
  <printOptions/>
  <pageMargins left="0.75" right="0.75" top="1" bottom="1" header="0.5" footer="0.5"/>
  <pageSetup horizontalDpi="1200" verticalDpi="1200" orientation="portrait" scale="92" r:id="rId2"/>
  <drawing r:id="rId1"/>
</worksheet>
</file>

<file path=xl/worksheets/sheet3.xml><?xml version="1.0" encoding="utf-8"?>
<worksheet xmlns="http://schemas.openxmlformats.org/spreadsheetml/2006/main" xmlns:r="http://schemas.openxmlformats.org/officeDocument/2006/relationships">
  <sheetPr codeName="Sheet9"/>
  <dimension ref="A1:P36"/>
  <sheetViews>
    <sheetView showGridLines="0" workbookViewId="0" topLeftCell="A1">
      <selection activeCell="I25" sqref="I25"/>
    </sheetView>
  </sheetViews>
  <sheetFormatPr defaultColWidth="9.140625" defaultRowHeight="12.75"/>
  <cols>
    <col min="1" max="1" width="9.8515625" style="0" customWidth="1"/>
    <col min="4" max="4" width="10.57421875" style="0" bestFit="1" customWidth="1"/>
    <col min="6" max="6" width="8.00390625" style="0" customWidth="1"/>
    <col min="7" max="7" width="5.00390625" style="0" customWidth="1"/>
    <col min="8" max="8" width="14.7109375" style="0" customWidth="1"/>
    <col min="9" max="9" width="24.57421875" style="0" customWidth="1"/>
    <col min="10" max="10" width="13.00390625" style="0" customWidth="1"/>
    <col min="11" max="11" width="2.57421875" style="0" customWidth="1"/>
    <col min="12" max="12" width="2.140625" style="0" customWidth="1"/>
    <col min="13" max="13" width="5.57421875" style="0" customWidth="1"/>
    <col min="14" max="14" width="10.28125" style="0" customWidth="1"/>
    <col min="16" max="16" width="0" style="0" hidden="1" customWidth="1"/>
  </cols>
  <sheetData>
    <row r="1" spans="1:14" ht="21.75" customHeight="1">
      <c r="A1" s="212"/>
      <c r="B1" s="213"/>
      <c r="C1" s="213"/>
      <c r="D1" s="213"/>
      <c r="E1" s="213"/>
      <c r="F1" s="219"/>
      <c r="G1" s="213"/>
      <c r="H1" s="213"/>
      <c r="I1" s="213"/>
      <c r="J1" s="213"/>
      <c r="K1" s="213"/>
      <c r="L1" s="213"/>
      <c r="M1" s="213"/>
      <c r="N1" s="216"/>
    </row>
    <row r="2" spans="1:16" ht="31.5" customHeight="1">
      <c r="A2" s="214"/>
      <c r="B2" s="9"/>
      <c r="C2" s="9"/>
      <c r="D2" s="9"/>
      <c r="E2" s="9"/>
      <c r="F2" s="9"/>
      <c r="G2" s="9"/>
      <c r="H2" s="9"/>
      <c r="I2" s="9"/>
      <c r="J2" s="9"/>
      <c r="K2" s="9"/>
      <c r="L2" s="9"/>
      <c r="M2" s="9"/>
      <c r="N2" s="217"/>
      <c r="P2" s="221">
        <f>Design!K10</f>
        <v>38939</v>
      </c>
    </row>
    <row r="3" spans="1:14" ht="32.25" customHeight="1">
      <c r="A3" s="214"/>
      <c r="B3" s="9"/>
      <c r="C3" s="9"/>
      <c r="D3" s="9"/>
      <c r="E3" s="9"/>
      <c r="F3" s="9"/>
      <c r="G3" s="9"/>
      <c r="H3" s="9"/>
      <c r="I3" s="9"/>
      <c r="J3" s="9"/>
      <c r="K3" s="9"/>
      <c r="L3" s="9"/>
      <c r="M3" s="9"/>
      <c r="N3" s="217"/>
    </row>
    <row r="4" spans="1:16" ht="21.75" customHeight="1">
      <c r="A4" s="214"/>
      <c r="B4" s="9"/>
      <c r="C4" s="9"/>
      <c r="D4" s="9"/>
      <c r="E4" s="9"/>
      <c r="F4" s="9"/>
      <c r="G4" s="9"/>
      <c r="H4" s="9"/>
      <c r="I4" s="9"/>
      <c r="J4" s="9"/>
      <c r="K4" s="9"/>
      <c r="L4" s="9"/>
      <c r="M4" s="9"/>
      <c r="N4" s="217"/>
      <c r="P4" s="13">
        <f>IF(ISBLANK(Design!C26),150,Design!C26)</f>
        <v>150</v>
      </c>
    </row>
    <row r="5" spans="1:14" ht="12.75">
      <c r="A5" s="214"/>
      <c r="B5" s="9"/>
      <c r="C5" s="9"/>
      <c r="D5" s="9"/>
      <c r="E5" s="9"/>
      <c r="F5" s="9"/>
      <c r="G5" s="9"/>
      <c r="H5" s="9"/>
      <c r="I5" s="9"/>
      <c r="J5" s="9"/>
      <c r="K5" s="9"/>
      <c r="L5" s="9"/>
      <c r="M5" s="9"/>
      <c r="N5" s="217"/>
    </row>
    <row r="6" spans="1:14" ht="12.75">
      <c r="A6" s="214"/>
      <c r="B6" s="9"/>
      <c r="C6" s="9"/>
      <c r="D6" s="9"/>
      <c r="E6" s="9"/>
      <c r="F6" s="9"/>
      <c r="G6" s="9"/>
      <c r="H6" s="9"/>
      <c r="I6" s="9"/>
      <c r="J6" s="9"/>
      <c r="K6" s="9"/>
      <c r="L6" s="9"/>
      <c r="M6" s="9"/>
      <c r="N6" s="217"/>
    </row>
    <row r="7" spans="1:14" ht="12.75">
      <c r="A7" s="214"/>
      <c r="B7" s="9"/>
      <c r="C7" s="9"/>
      <c r="D7" s="9"/>
      <c r="E7" s="9"/>
      <c r="F7" s="9"/>
      <c r="G7" s="9"/>
      <c r="H7" s="9"/>
      <c r="I7" s="9"/>
      <c r="J7" s="9"/>
      <c r="K7" s="9"/>
      <c r="L7" s="9"/>
      <c r="M7" s="9"/>
      <c r="N7" s="217"/>
    </row>
    <row r="8" spans="1:14" ht="12.75">
      <c r="A8" s="214"/>
      <c r="B8" s="9"/>
      <c r="C8" s="9"/>
      <c r="D8" s="9"/>
      <c r="E8" s="9"/>
      <c r="F8" s="9"/>
      <c r="G8" s="9"/>
      <c r="H8" s="9"/>
      <c r="I8" s="9"/>
      <c r="J8" s="9"/>
      <c r="K8" s="9"/>
      <c r="L8" s="9"/>
      <c r="M8" s="9"/>
      <c r="N8" s="217"/>
    </row>
    <row r="9" spans="1:14" ht="12.75" customHeight="1">
      <c r="A9" s="214"/>
      <c r="B9" s="9"/>
      <c r="C9" s="9"/>
      <c r="D9" s="9"/>
      <c r="E9" s="9"/>
      <c r="F9" s="9"/>
      <c r="G9" s="9"/>
      <c r="H9" s="9"/>
      <c r="I9" s="257"/>
      <c r="J9" s="258"/>
      <c r="K9" s="258"/>
      <c r="L9" s="263"/>
      <c r="N9" s="217"/>
    </row>
    <row r="10" spans="1:14" ht="12.75" customHeight="1">
      <c r="A10" s="214"/>
      <c r="B10" s="9"/>
      <c r="C10" s="9"/>
      <c r="D10" s="9"/>
      <c r="E10" s="9"/>
      <c r="F10" s="9"/>
      <c r="G10" s="9"/>
      <c r="H10" s="9"/>
      <c r="I10" s="258"/>
      <c r="J10" s="258"/>
      <c r="K10" s="258"/>
      <c r="L10" s="263"/>
      <c r="N10" s="217"/>
    </row>
    <row r="11" spans="1:14" ht="12.75" customHeight="1" thickBot="1">
      <c r="A11" s="214"/>
      <c r="B11" s="9"/>
      <c r="C11" s="9"/>
      <c r="D11" s="9"/>
      <c r="E11" s="9"/>
      <c r="F11" s="9"/>
      <c r="G11" s="9"/>
      <c r="H11" s="9"/>
      <c r="I11" s="258"/>
      <c r="J11" s="258"/>
      <c r="K11" s="258"/>
      <c r="L11" s="263"/>
      <c r="N11" s="218"/>
    </row>
    <row r="12" spans="1:14" ht="12.75">
      <c r="A12" s="214"/>
      <c r="B12" s="9"/>
      <c r="C12" s="9"/>
      <c r="D12" s="9"/>
      <c r="E12" s="9"/>
      <c r="F12" s="9"/>
      <c r="G12" s="9"/>
      <c r="H12" s="9"/>
      <c r="I12" s="258"/>
      <c r="J12" s="258"/>
      <c r="K12" s="258"/>
      <c r="L12" s="263"/>
      <c r="N12" s="217"/>
    </row>
    <row r="13" spans="1:14" ht="22.5" customHeight="1">
      <c r="A13" s="214"/>
      <c r="B13" s="9"/>
      <c r="C13" s="9"/>
      <c r="D13" s="9"/>
      <c r="E13" s="9"/>
      <c r="F13" s="9"/>
      <c r="G13" s="9"/>
      <c r="H13" s="9"/>
      <c r="I13" s="258"/>
      <c r="J13" s="258"/>
      <c r="K13" s="258"/>
      <c r="L13" s="263"/>
      <c r="N13" s="217"/>
    </row>
    <row r="14" spans="1:14" ht="23.25" customHeight="1">
      <c r="A14" s="214"/>
      <c r="B14" s="9"/>
      <c r="C14" s="9"/>
      <c r="D14" s="9"/>
      <c r="E14" s="9"/>
      <c r="F14" s="9"/>
      <c r="G14" s="9"/>
      <c r="H14" s="9"/>
      <c r="I14" s="258"/>
      <c r="J14" s="258"/>
      <c r="K14" s="258"/>
      <c r="L14" s="263"/>
      <c r="N14" s="217"/>
    </row>
    <row r="15" spans="1:14" ht="20.25" customHeight="1">
      <c r="A15" s="214"/>
      <c r="B15" s="9"/>
      <c r="C15" s="9"/>
      <c r="D15" s="9"/>
      <c r="E15" s="9"/>
      <c r="F15" s="9"/>
      <c r="G15" s="9"/>
      <c r="H15" s="9"/>
      <c r="I15" s="258"/>
      <c r="J15" s="258"/>
      <c r="K15" s="258"/>
      <c r="L15" s="263"/>
      <c r="N15" s="217"/>
    </row>
    <row r="16" spans="1:14" ht="22.5" customHeight="1">
      <c r="A16" s="214"/>
      <c r="B16" s="9"/>
      <c r="C16" s="9"/>
      <c r="D16" s="9"/>
      <c r="E16" s="9"/>
      <c r="F16" s="9"/>
      <c r="G16" s="9"/>
      <c r="H16" s="9"/>
      <c r="I16" s="254"/>
      <c r="J16" s="254"/>
      <c r="K16" s="254"/>
      <c r="L16" s="254"/>
      <c r="M16" s="9"/>
      <c r="N16" s="217"/>
    </row>
    <row r="17" spans="1:14" ht="12.75">
      <c r="A17" s="214"/>
      <c r="B17" s="9"/>
      <c r="C17" s="9"/>
      <c r="D17" s="9"/>
      <c r="E17" s="9"/>
      <c r="F17" s="9"/>
      <c r="G17" s="9"/>
      <c r="H17" s="9"/>
      <c r="I17" s="254"/>
      <c r="J17" s="254"/>
      <c r="K17" s="254"/>
      <c r="L17" s="254"/>
      <c r="M17" s="9"/>
      <c r="N17" s="217"/>
    </row>
    <row r="18" spans="1:14" ht="12.75">
      <c r="A18" s="214"/>
      <c r="B18" s="9"/>
      <c r="C18" s="9"/>
      <c r="D18" s="9"/>
      <c r="E18" s="9"/>
      <c r="F18" s="9"/>
      <c r="G18" s="9"/>
      <c r="H18" s="9"/>
      <c r="I18" s="9"/>
      <c r="J18" s="9"/>
      <c r="K18" s="9"/>
      <c r="L18" s="9"/>
      <c r="M18" s="9"/>
      <c r="N18" s="217"/>
    </row>
    <row r="19" spans="1:14" ht="12.75">
      <c r="A19" s="214" t="s">
        <v>296</v>
      </c>
      <c r="B19" s="9"/>
      <c r="C19" s="9"/>
      <c r="D19" s="9"/>
      <c r="E19" s="9"/>
      <c r="F19" s="9"/>
      <c r="G19" s="9"/>
      <c r="H19" s="9"/>
      <c r="I19" s="9"/>
      <c r="J19" s="9"/>
      <c r="K19" s="9"/>
      <c r="L19" s="9"/>
      <c r="M19" s="9"/>
      <c r="N19" s="217"/>
    </row>
    <row r="20" spans="1:14" ht="12.75">
      <c r="A20" s="214" t="s">
        <v>409</v>
      </c>
      <c r="B20" s="9"/>
      <c r="C20" s="9"/>
      <c r="D20" s="9"/>
      <c r="E20" s="9"/>
      <c r="F20" s="9"/>
      <c r="G20" s="9"/>
      <c r="H20" s="9"/>
      <c r="I20" s="9"/>
      <c r="J20" s="9"/>
      <c r="K20" s="9"/>
      <c r="L20" s="9"/>
      <c r="M20" s="9"/>
      <c r="N20" s="217"/>
    </row>
    <row r="21" spans="1:14" ht="12.75">
      <c r="A21" s="214" t="s">
        <v>410</v>
      </c>
      <c r="B21" s="9"/>
      <c r="C21" s="9"/>
      <c r="D21" s="9"/>
      <c r="E21" s="9"/>
      <c r="F21" s="9"/>
      <c r="G21" s="9"/>
      <c r="H21" s="9"/>
      <c r="I21" s="9"/>
      <c r="J21" s="9"/>
      <c r="K21" s="9"/>
      <c r="L21" s="9"/>
      <c r="M21" s="9"/>
      <c r="N21" s="217"/>
    </row>
    <row r="22" spans="1:14" ht="13.5" thickBot="1">
      <c r="A22" s="214" t="s">
        <v>298</v>
      </c>
      <c r="B22" s="9"/>
      <c r="C22" s="9"/>
      <c r="D22" s="9"/>
      <c r="E22" s="9"/>
      <c r="F22" s="9"/>
      <c r="G22" s="9"/>
      <c r="H22" s="9"/>
      <c r="I22" s="9"/>
      <c r="J22" s="9"/>
      <c r="K22" s="9"/>
      <c r="L22" s="9"/>
      <c r="M22" s="9"/>
      <c r="N22" s="218"/>
    </row>
    <row r="23" spans="1:14" ht="12.75">
      <c r="A23" s="214" t="s">
        <v>297</v>
      </c>
      <c r="B23" s="9"/>
      <c r="C23" s="9"/>
      <c r="D23" s="9"/>
      <c r="E23" s="9"/>
      <c r="F23" s="9"/>
      <c r="G23" s="9"/>
      <c r="H23" s="9"/>
      <c r="I23" s="232" t="s">
        <v>301</v>
      </c>
      <c r="J23" s="168"/>
      <c r="K23" s="9"/>
      <c r="L23" s="9"/>
      <c r="M23" s="9"/>
      <c r="N23" s="217"/>
    </row>
    <row r="24" spans="1:14" ht="12.75">
      <c r="A24" s="214"/>
      <c r="B24" s="9"/>
      <c r="C24" s="9"/>
      <c r="D24" s="9"/>
      <c r="E24" s="9"/>
      <c r="F24" s="9"/>
      <c r="G24" s="9"/>
      <c r="H24" s="9"/>
      <c r="I24" s="8" t="s">
        <v>302</v>
      </c>
      <c r="J24" s="233">
        <f>IF(ISBLANK(Design!H24),"",Design!H24)</f>
      </c>
      <c r="K24" s="9"/>
      <c r="L24" s="9"/>
      <c r="M24" s="9"/>
      <c r="N24" s="217"/>
    </row>
    <row r="25" spans="1:14" ht="12.75">
      <c r="A25" s="214" t="s">
        <v>311</v>
      </c>
      <c r="B25" s="9"/>
      <c r="C25" s="9"/>
      <c r="D25" s="237">
        <f>IF(ISBLANK(Design!C15),"",Design!C15)</f>
      </c>
      <c r="E25" s="9"/>
      <c r="F25" s="9"/>
      <c r="G25" s="9"/>
      <c r="H25" s="9"/>
      <c r="I25" s="8" t="s">
        <v>303</v>
      </c>
      <c r="J25" s="234">
        <f>IF(ISBLANK(Design!S26),"",IF(Design!O24=2,Design!S26,""))</f>
      </c>
      <c r="K25" s="9"/>
      <c r="L25" s="9"/>
      <c r="M25" s="9"/>
      <c r="N25" s="217"/>
    </row>
    <row r="26" spans="1:14" ht="12.75">
      <c r="A26" s="214" t="s">
        <v>312</v>
      </c>
      <c r="B26" s="9"/>
      <c r="C26" s="9"/>
      <c r="D26" s="238">
        <f>IF(ISBLANK(Design!C16),"",Design!C16)</f>
      </c>
      <c r="E26" s="9"/>
      <c r="F26" s="9"/>
      <c r="G26" s="9"/>
      <c r="H26" s="9"/>
      <c r="I26" s="8" t="s">
        <v>304</v>
      </c>
      <c r="J26" s="175"/>
      <c r="K26" s="9"/>
      <c r="L26" s="9"/>
      <c r="M26" s="9"/>
      <c r="N26" s="217"/>
    </row>
    <row r="27" spans="1:14" ht="12.75">
      <c r="A27" s="214"/>
      <c r="B27" s="9"/>
      <c r="C27" s="9"/>
      <c r="D27" s="9"/>
      <c r="E27" s="9"/>
      <c r="F27" s="9"/>
      <c r="G27" s="9"/>
      <c r="H27" s="9"/>
      <c r="I27" s="8" t="s">
        <v>306</v>
      </c>
      <c r="J27" s="235">
        <f>IF(ISBLANK(Design!C27),"",Design!C27)</f>
      </c>
      <c r="K27" s="9"/>
      <c r="L27" s="9"/>
      <c r="M27" s="9"/>
      <c r="N27" s="217"/>
    </row>
    <row r="28" spans="1:14" ht="12.75">
      <c r="A28" s="230" t="s">
        <v>299</v>
      </c>
      <c r="B28" s="11"/>
      <c r="C28" s="197"/>
      <c r="D28" s="197"/>
      <c r="E28" s="197"/>
      <c r="F28" s="9"/>
      <c r="G28" s="9"/>
      <c r="H28" s="9"/>
      <c r="I28" s="10" t="s">
        <v>305</v>
      </c>
      <c r="J28" s="255">
        <f>IF(ISBLANK(Design!C24),"",Design!C24)</f>
      </c>
      <c r="K28" s="9"/>
      <c r="L28" s="9"/>
      <c r="M28" s="9"/>
      <c r="N28" s="217"/>
    </row>
    <row r="29" spans="1:14" ht="12.75">
      <c r="A29" s="231"/>
      <c r="B29" s="111"/>
      <c r="C29" s="111"/>
      <c r="D29" s="111"/>
      <c r="E29" s="111"/>
      <c r="F29" s="9"/>
      <c r="H29" s="9"/>
      <c r="I29" s="9"/>
      <c r="J29" s="9"/>
      <c r="K29" s="9"/>
      <c r="L29" s="9"/>
      <c r="M29" s="9"/>
      <c r="N29" s="217"/>
    </row>
    <row r="30" spans="1:14" ht="12.75">
      <c r="A30" s="231"/>
      <c r="B30" s="111"/>
      <c r="C30" s="111"/>
      <c r="D30" s="111"/>
      <c r="E30" s="111"/>
      <c r="F30" s="9"/>
      <c r="G30" s="9"/>
      <c r="H30" s="9"/>
      <c r="I30" s="232" t="s">
        <v>307</v>
      </c>
      <c r="J30" s="168"/>
      <c r="K30" s="9"/>
      <c r="L30" s="9"/>
      <c r="M30" s="9"/>
      <c r="N30" s="217"/>
    </row>
    <row r="31" spans="1:14" ht="12.75">
      <c r="A31" s="231"/>
      <c r="B31" s="111"/>
      <c r="C31" s="111"/>
      <c r="D31" s="111"/>
      <c r="E31" s="111"/>
      <c r="F31" s="9"/>
      <c r="G31" s="9"/>
      <c r="H31" s="9"/>
      <c r="I31" s="8" t="s">
        <v>308</v>
      </c>
      <c r="J31" s="236">
        <f>IF(ISBLANK(Design!H22),"",Design!H22)</f>
      </c>
      <c r="K31" s="9"/>
      <c r="L31" s="9"/>
      <c r="M31" s="9"/>
      <c r="N31" s="217"/>
    </row>
    <row r="32" spans="1:14" ht="12.75">
      <c r="A32" s="214"/>
      <c r="B32" s="9"/>
      <c r="C32" s="9"/>
      <c r="D32" s="9"/>
      <c r="E32" s="9"/>
      <c r="F32" s="9"/>
      <c r="G32" s="228"/>
      <c r="H32" s="9"/>
      <c r="I32" s="8" t="s">
        <v>309</v>
      </c>
      <c r="J32" s="236">
        <f>IF(ISBLANK(Design!H21),"",Design!H21)</f>
      </c>
      <c r="K32" s="9"/>
      <c r="L32" s="9"/>
      <c r="M32" s="9"/>
      <c r="N32" s="217"/>
    </row>
    <row r="33" spans="1:14" ht="13.5" thickBot="1">
      <c r="A33" s="214" t="s">
        <v>300</v>
      </c>
      <c r="B33" s="9"/>
      <c r="C33" s="239"/>
      <c r="D33" s="9"/>
      <c r="E33" s="9"/>
      <c r="F33" s="9"/>
      <c r="G33" s="9"/>
      <c r="H33" s="9"/>
      <c r="I33" s="8" t="s">
        <v>310</v>
      </c>
      <c r="J33" s="198"/>
      <c r="K33" s="9"/>
      <c r="L33" s="9"/>
      <c r="M33" s="9"/>
      <c r="N33" s="217"/>
    </row>
    <row r="34" spans="1:14" ht="15" customHeight="1" thickBot="1">
      <c r="A34" s="214"/>
      <c r="B34" s="9"/>
      <c r="C34" s="9"/>
      <c r="D34" s="9"/>
      <c r="E34" s="9"/>
      <c r="F34" s="9"/>
      <c r="G34" s="9"/>
      <c r="H34" s="9"/>
      <c r="I34" s="10"/>
      <c r="J34" s="171"/>
      <c r="K34" s="9"/>
      <c r="L34" s="9"/>
      <c r="M34" s="9"/>
      <c r="N34" s="220"/>
    </row>
    <row r="35" spans="1:14" ht="15" customHeight="1" thickBot="1">
      <c r="A35" s="214"/>
      <c r="B35" s="9"/>
      <c r="C35" s="9"/>
      <c r="D35" s="9"/>
      <c r="E35" s="9"/>
      <c r="F35" s="9"/>
      <c r="G35" s="9"/>
      <c r="H35" s="9"/>
      <c r="I35" s="9"/>
      <c r="J35" s="9"/>
      <c r="K35" s="9"/>
      <c r="L35" s="9"/>
      <c r="M35" s="9"/>
      <c r="N35" s="218"/>
    </row>
    <row r="36" spans="1:14" ht="15" customHeight="1" thickBot="1">
      <c r="A36" s="220" t="s">
        <v>294</v>
      </c>
      <c r="B36" s="222">
        <f>IF(ISBLANK(Design!B10),"",Design!B10)</f>
      </c>
      <c r="C36" s="223"/>
      <c r="D36" s="224"/>
      <c r="E36" s="220" t="s">
        <v>295</v>
      </c>
      <c r="F36" s="225">
        <f>IF(ISBLANK(Design!F12),"",Design!F12)</f>
      </c>
      <c r="G36" s="227"/>
      <c r="H36" s="226"/>
      <c r="I36" s="229"/>
      <c r="J36" s="215"/>
      <c r="K36" s="215"/>
      <c r="L36" s="215"/>
      <c r="M36" s="215"/>
      <c r="N36" s="218"/>
    </row>
  </sheetData>
  <sheetProtection password="9116" sheet="1" objects="1" scenarios="1"/>
  <printOptions/>
  <pageMargins left="0.5" right="0.5" top="0.5" bottom="0.5" header="0.5" footer="0.5"/>
  <pageSetup horizontalDpi="1200" verticalDpi="1200" orientation="landscape" scale="95" r:id="rId2"/>
  <drawing r:id="rId1"/>
</worksheet>
</file>

<file path=xl/worksheets/sheet4.xml><?xml version="1.0" encoding="utf-8"?>
<worksheet xmlns="http://schemas.openxmlformats.org/spreadsheetml/2006/main" xmlns:r="http://schemas.openxmlformats.org/officeDocument/2006/relationships">
  <sheetPr codeName="Sheet7"/>
  <dimension ref="A1:I67"/>
  <sheetViews>
    <sheetView showGridLines="0" workbookViewId="0" topLeftCell="A1">
      <selection activeCell="E17" sqref="E17"/>
    </sheetView>
  </sheetViews>
  <sheetFormatPr defaultColWidth="9.140625" defaultRowHeight="12.75"/>
  <cols>
    <col min="4" max="4" width="12.57421875" style="0" customWidth="1"/>
    <col min="8" max="8" width="10.421875" style="0" customWidth="1"/>
    <col min="9" max="9" width="15.8515625" style="0" customWidth="1"/>
  </cols>
  <sheetData>
    <row r="1" spans="1:9" ht="15">
      <c r="A1" s="290" t="s">
        <v>219</v>
      </c>
      <c r="B1" s="290"/>
      <c r="C1" s="290"/>
      <c r="D1" s="290"/>
      <c r="E1" s="290"/>
      <c r="F1" s="290"/>
      <c r="G1" s="290"/>
      <c r="H1" s="290"/>
      <c r="I1" s="290"/>
    </row>
    <row r="2" spans="1:9" ht="15">
      <c r="A2" s="112"/>
      <c r="B2" s="112"/>
      <c r="C2" s="112"/>
      <c r="D2" s="112"/>
      <c r="E2" s="112"/>
      <c r="F2" s="112"/>
      <c r="G2" s="112"/>
      <c r="H2" s="112"/>
      <c r="I2" s="112"/>
    </row>
    <row r="3" spans="1:9" ht="12.75">
      <c r="A3" s="113"/>
      <c r="B3" s="113"/>
      <c r="C3" s="113"/>
      <c r="D3" s="113"/>
      <c r="E3" s="113"/>
      <c r="F3" s="113"/>
      <c r="G3" s="113"/>
      <c r="H3" s="113"/>
      <c r="I3" s="113"/>
    </row>
    <row r="4" spans="1:9" ht="14.25">
      <c r="A4" s="123"/>
      <c r="B4" s="123"/>
      <c r="C4" s="123"/>
      <c r="D4" s="123"/>
      <c r="E4" s="123"/>
      <c r="F4" s="123" t="s">
        <v>220</v>
      </c>
      <c r="G4" s="123"/>
      <c r="H4" s="160"/>
      <c r="I4" s="160"/>
    </row>
    <row r="5" spans="1:9" ht="14.25">
      <c r="A5" s="123"/>
      <c r="B5" s="160"/>
      <c r="C5" s="160"/>
      <c r="D5" s="160"/>
      <c r="E5" s="160"/>
      <c r="F5" s="123" t="s">
        <v>221</v>
      </c>
      <c r="G5" s="123"/>
      <c r="H5" s="160"/>
      <c r="I5" s="160"/>
    </row>
    <row r="6" spans="1:9" ht="12.75">
      <c r="A6" s="113"/>
      <c r="B6" s="113"/>
      <c r="C6" s="113"/>
      <c r="D6" s="113"/>
      <c r="E6" s="113"/>
      <c r="F6" s="113"/>
      <c r="G6" s="113"/>
      <c r="H6" s="113"/>
      <c r="I6" s="113"/>
    </row>
    <row r="7" spans="1:9" ht="12.75">
      <c r="A7" s="113"/>
      <c r="B7" s="113"/>
      <c r="C7" s="113"/>
      <c r="D7" s="113"/>
      <c r="E7" s="113"/>
      <c r="F7" s="113"/>
      <c r="G7" s="113"/>
      <c r="H7" s="113"/>
      <c r="I7" s="113"/>
    </row>
    <row r="8" spans="1:9" ht="13.5" thickBot="1">
      <c r="A8" s="124" t="s">
        <v>222</v>
      </c>
      <c r="B8" s="113"/>
      <c r="C8" s="113"/>
      <c r="D8" s="113"/>
      <c r="E8" s="113"/>
      <c r="F8" s="113"/>
      <c r="G8" s="113"/>
      <c r="H8" s="113"/>
      <c r="I8" s="113"/>
    </row>
    <row r="9" spans="1:9" ht="13.5" thickTop="1">
      <c r="A9" s="125" t="s">
        <v>204</v>
      </c>
      <c r="B9" s="126" t="s">
        <v>204</v>
      </c>
      <c r="C9" s="126"/>
      <c r="D9" s="126" t="s">
        <v>204</v>
      </c>
      <c r="E9" s="126"/>
      <c r="F9" s="126" t="s">
        <v>204</v>
      </c>
      <c r="G9" s="126"/>
      <c r="H9" s="126" t="s">
        <v>204</v>
      </c>
      <c r="I9" s="127"/>
    </row>
    <row r="10" spans="1:9" ht="12.75">
      <c r="A10" s="240"/>
      <c r="B10" s="128" t="s">
        <v>223</v>
      </c>
      <c r="C10" s="242"/>
      <c r="D10" s="128" t="s">
        <v>224</v>
      </c>
      <c r="E10" s="242"/>
      <c r="F10" s="128" t="s">
        <v>225</v>
      </c>
      <c r="G10" s="128"/>
      <c r="H10" s="128" t="s">
        <v>226</v>
      </c>
      <c r="I10" s="244"/>
    </row>
    <row r="11" spans="1:9" ht="12.75">
      <c r="A11" s="241"/>
      <c r="B11" s="128" t="s">
        <v>223</v>
      </c>
      <c r="C11" s="242"/>
      <c r="D11" s="128" t="s">
        <v>224</v>
      </c>
      <c r="E11" s="243"/>
      <c r="F11" s="128" t="s">
        <v>225</v>
      </c>
      <c r="G11" s="128"/>
      <c r="H11" s="128" t="s">
        <v>226</v>
      </c>
      <c r="I11" s="244"/>
    </row>
    <row r="12" spans="1:9" ht="12.75">
      <c r="A12" s="129"/>
      <c r="B12" s="128"/>
      <c r="C12" s="128"/>
      <c r="D12" s="128"/>
      <c r="E12" s="128"/>
      <c r="F12" s="128"/>
      <c r="G12" s="128"/>
      <c r="H12" s="128"/>
      <c r="I12" s="130"/>
    </row>
    <row r="13" spans="1:9" ht="12.75">
      <c r="A13" s="129" t="s">
        <v>227</v>
      </c>
      <c r="B13" s="128"/>
      <c r="C13" s="128"/>
      <c r="D13" s="128"/>
      <c r="E13" s="128"/>
      <c r="F13" s="128"/>
      <c r="G13" s="128"/>
      <c r="H13" s="128"/>
      <c r="I13" s="130"/>
    </row>
    <row r="14" spans="1:9" ht="12.75">
      <c r="A14" s="240"/>
      <c r="B14" s="128" t="s">
        <v>223</v>
      </c>
      <c r="C14" s="242"/>
      <c r="D14" s="128" t="s">
        <v>228</v>
      </c>
      <c r="E14" s="242"/>
      <c r="F14" s="128" t="s">
        <v>229</v>
      </c>
      <c r="G14" s="242"/>
      <c r="H14" s="128" t="s">
        <v>226</v>
      </c>
      <c r="I14" s="130"/>
    </row>
    <row r="15" spans="1:9" ht="12.75">
      <c r="A15" s="241"/>
      <c r="B15" s="128" t="s">
        <v>223</v>
      </c>
      <c r="C15" s="242"/>
      <c r="D15" s="128" t="s">
        <v>228</v>
      </c>
      <c r="E15" s="243"/>
      <c r="F15" s="128" t="s">
        <v>229</v>
      </c>
      <c r="G15" s="242"/>
      <c r="H15" s="128" t="s">
        <v>226</v>
      </c>
      <c r="I15" s="130"/>
    </row>
    <row r="16" spans="1:9" ht="12.75">
      <c r="A16" s="129"/>
      <c r="B16" s="128"/>
      <c r="C16" s="128"/>
      <c r="D16" s="128"/>
      <c r="E16" s="128"/>
      <c r="F16" s="128"/>
      <c r="G16" s="128"/>
      <c r="H16" s="128"/>
      <c r="I16" s="130"/>
    </row>
    <row r="17" spans="1:9" ht="12.75">
      <c r="A17" s="129" t="s">
        <v>313</v>
      </c>
      <c r="B17" s="128"/>
      <c r="C17" s="128"/>
      <c r="D17" s="128"/>
      <c r="E17" s="128" t="s">
        <v>230</v>
      </c>
      <c r="F17" s="128"/>
      <c r="G17" s="128"/>
      <c r="H17" s="128"/>
      <c r="I17" s="130"/>
    </row>
    <row r="18" spans="1:9" ht="12.75">
      <c r="A18" s="129"/>
      <c r="B18" s="128"/>
      <c r="C18" s="128"/>
      <c r="D18" s="128"/>
      <c r="E18" s="128"/>
      <c r="F18" s="128"/>
      <c r="G18" s="128"/>
      <c r="H18" s="128"/>
      <c r="I18" s="130"/>
    </row>
    <row r="19" spans="1:9" ht="12.75">
      <c r="A19" s="129" t="s">
        <v>231</v>
      </c>
      <c r="B19" s="128"/>
      <c r="C19" s="128"/>
      <c r="D19" s="128"/>
      <c r="E19" s="128"/>
      <c r="F19" s="128" t="s">
        <v>230</v>
      </c>
      <c r="G19" s="128"/>
      <c r="H19" s="128"/>
      <c r="I19" s="130"/>
    </row>
    <row r="20" spans="1:9" ht="12.75">
      <c r="A20" s="129"/>
      <c r="B20" s="128"/>
      <c r="C20" s="128"/>
      <c r="D20" s="128"/>
      <c r="E20" s="128"/>
      <c r="F20" s="128"/>
      <c r="G20" s="128"/>
      <c r="H20" s="128"/>
      <c r="I20" s="130"/>
    </row>
    <row r="21" spans="1:9" ht="12.75">
      <c r="A21" s="129" t="s">
        <v>232</v>
      </c>
      <c r="B21" s="128"/>
      <c r="C21" s="128"/>
      <c r="D21" s="128"/>
      <c r="E21" s="128"/>
      <c r="F21" s="128"/>
      <c r="G21" s="128"/>
      <c r="H21" s="128" t="s">
        <v>230</v>
      </c>
      <c r="I21" s="130"/>
    </row>
    <row r="22" spans="1:9" ht="13.5" thickBot="1">
      <c r="A22" s="131"/>
      <c r="B22" s="132"/>
      <c r="C22" s="132"/>
      <c r="D22" s="132"/>
      <c r="E22" s="132"/>
      <c r="F22" s="132"/>
      <c r="G22" s="132"/>
      <c r="H22" s="132"/>
      <c r="I22" s="133"/>
    </row>
    <row r="23" spans="1:9" ht="13.5" thickTop="1">
      <c r="A23" s="113"/>
      <c r="B23" s="113"/>
      <c r="C23" s="113"/>
      <c r="D23" s="113"/>
      <c r="E23" s="113"/>
      <c r="F23" s="113"/>
      <c r="G23" s="113"/>
      <c r="H23" s="113"/>
      <c r="I23" s="113"/>
    </row>
    <row r="24" spans="1:9" ht="13.5" thickBot="1">
      <c r="A24" s="124" t="s">
        <v>233</v>
      </c>
      <c r="B24" s="113"/>
      <c r="C24" s="113"/>
      <c r="D24" s="113"/>
      <c r="E24" s="113"/>
      <c r="F24" s="113"/>
      <c r="G24" s="113"/>
      <c r="H24" s="113"/>
      <c r="I24" s="113"/>
    </row>
    <row r="25" spans="1:9" ht="13.5" thickTop="1">
      <c r="A25" s="134"/>
      <c r="B25" s="115"/>
      <c r="C25" s="115"/>
      <c r="D25" s="115"/>
      <c r="E25" s="115"/>
      <c r="F25" s="115"/>
      <c r="G25" s="115"/>
      <c r="H25" s="115"/>
      <c r="I25" s="116"/>
    </row>
    <row r="26" spans="1:9" ht="12.75">
      <c r="A26" s="183"/>
      <c r="B26" s="117" t="s">
        <v>234</v>
      </c>
      <c r="C26" s="117"/>
      <c r="D26" s="117"/>
      <c r="E26" s="185"/>
      <c r="F26" s="117" t="s">
        <v>235</v>
      </c>
      <c r="G26" s="117"/>
      <c r="H26" s="117"/>
      <c r="I26" s="118"/>
    </row>
    <row r="27" spans="1:9" ht="12.75">
      <c r="A27" s="119"/>
      <c r="B27" s="117"/>
      <c r="C27" s="117"/>
      <c r="D27" s="117"/>
      <c r="E27" s="117"/>
      <c r="F27" s="117"/>
      <c r="G27" s="117"/>
      <c r="H27" s="117"/>
      <c r="I27" s="118"/>
    </row>
    <row r="28" spans="1:9" ht="12.75">
      <c r="A28" s="119" t="s">
        <v>236</v>
      </c>
      <c r="B28" s="117"/>
      <c r="C28" s="117"/>
      <c r="D28" s="117"/>
      <c r="E28" s="117"/>
      <c r="F28" s="117" t="s">
        <v>230</v>
      </c>
      <c r="G28" s="117"/>
      <c r="H28" s="117"/>
      <c r="I28" s="118"/>
    </row>
    <row r="29" spans="1:9" ht="12.75">
      <c r="A29" s="119"/>
      <c r="B29" s="117"/>
      <c r="C29" s="117"/>
      <c r="D29" s="117"/>
      <c r="E29" s="117"/>
      <c r="F29" s="117"/>
      <c r="G29" s="117"/>
      <c r="H29" s="117"/>
      <c r="I29" s="118"/>
    </row>
    <row r="30" spans="1:9" ht="12.75">
      <c r="A30" s="119" t="s">
        <v>237</v>
      </c>
      <c r="B30" s="117" t="s">
        <v>238</v>
      </c>
      <c r="C30" s="135" t="s">
        <v>239</v>
      </c>
      <c r="D30" s="136" t="s">
        <v>240</v>
      </c>
      <c r="E30" s="117" t="s">
        <v>241</v>
      </c>
      <c r="F30" s="117"/>
      <c r="G30" s="117"/>
      <c r="H30" s="117"/>
      <c r="I30" s="118" t="s">
        <v>242</v>
      </c>
    </row>
    <row r="31" spans="1:9" ht="12.75">
      <c r="A31" s="119"/>
      <c r="B31" s="117"/>
      <c r="C31" s="117"/>
      <c r="D31" s="117"/>
      <c r="E31" s="117"/>
      <c r="F31" s="117"/>
      <c r="G31" s="117"/>
      <c r="H31" s="117"/>
      <c r="I31" s="118"/>
    </row>
    <row r="32" spans="1:9" ht="12.75">
      <c r="A32" s="119" t="s">
        <v>243</v>
      </c>
      <c r="B32" s="117"/>
      <c r="C32" s="117"/>
      <c r="D32" s="117"/>
      <c r="E32" s="117" t="s">
        <v>230</v>
      </c>
      <c r="F32" s="117"/>
      <c r="G32" s="117"/>
      <c r="H32" s="117"/>
      <c r="I32" s="118"/>
    </row>
    <row r="33" spans="1:9" ht="12.75">
      <c r="A33" s="119"/>
      <c r="B33" s="117"/>
      <c r="C33" s="117"/>
      <c r="D33" s="117"/>
      <c r="E33" s="117"/>
      <c r="F33" s="117"/>
      <c r="G33" s="117"/>
      <c r="H33" s="117"/>
      <c r="I33" s="118"/>
    </row>
    <row r="34" spans="1:9" ht="12.75">
      <c r="A34" s="119" t="s">
        <v>244</v>
      </c>
      <c r="B34" s="117"/>
      <c r="C34" s="137" t="s">
        <v>245</v>
      </c>
      <c r="D34" s="117" t="s">
        <v>246</v>
      </c>
      <c r="E34" s="117"/>
      <c r="F34" s="117"/>
      <c r="G34" s="117"/>
      <c r="H34" s="117"/>
      <c r="I34" s="118"/>
    </row>
    <row r="35" spans="1:9" ht="12.75">
      <c r="A35" s="119"/>
      <c r="B35" s="117"/>
      <c r="C35" s="117"/>
      <c r="D35" s="117"/>
      <c r="E35" s="117"/>
      <c r="F35" s="117"/>
      <c r="G35" s="117"/>
      <c r="H35" s="117"/>
      <c r="I35" s="118"/>
    </row>
    <row r="36" spans="1:9" ht="12.75">
      <c r="A36" s="119" t="s">
        <v>247</v>
      </c>
      <c r="B36" s="117"/>
      <c r="C36" s="117"/>
      <c r="D36" s="117" t="s">
        <v>248</v>
      </c>
      <c r="E36" s="117"/>
      <c r="F36" s="117"/>
      <c r="G36" s="117"/>
      <c r="H36" s="117"/>
      <c r="I36" s="118"/>
    </row>
    <row r="37" spans="1:9" ht="12.75">
      <c r="A37" s="119"/>
      <c r="B37" s="117"/>
      <c r="C37" s="117"/>
      <c r="D37" s="117"/>
      <c r="E37" s="117"/>
      <c r="F37" s="117"/>
      <c r="G37" s="117"/>
      <c r="H37" s="117"/>
      <c r="I37" s="118"/>
    </row>
    <row r="38" spans="1:9" ht="12.75">
      <c r="A38" s="119" t="s">
        <v>261</v>
      </c>
      <c r="B38" s="117"/>
      <c r="C38" s="117"/>
      <c r="D38" s="117"/>
      <c r="E38" s="117"/>
      <c r="F38" s="117"/>
      <c r="G38" s="117" t="s">
        <v>249</v>
      </c>
      <c r="H38" s="117"/>
      <c r="I38" s="118"/>
    </row>
    <row r="39" spans="1:9" ht="12.75">
      <c r="A39" s="119"/>
      <c r="B39" s="117"/>
      <c r="C39" s="117"/>
      <c r="D39" s="117"/>
      <c r="E39" s="117"/>
      <c r="F39" s="117"/>
      <c r="G39" s="117"/>
      <c r="H39" s="117"/>
      <c r="I39" s="118"/>
    </row>
    <row r="40" spans="1:9" ht="13.5" thickBot="1">
      <c r="A40" s="120" t="s">
        <v>250</v>
      </c>
      <c r="B40" s="121"/>
      <c r="C40" s="121"/>
      <c r="D40" s="121" t="s">
        <v>230</v>
      </c>
      <c r="E40" s="121"/>
      <c r="F40" s="121"/>
      <c r="G40" s="121"/>
      <c r="H40" s="121"/>
      <c r="I40" s="122"/>
    </row>
    <row r="41" spans="1:9" ht="13.5" thickTop="1">
      <c r="A41" s="113"/>
      <c r="B41" s="113"/>
      <c r="C41" s="113"/>
      <c r="D41" s="138"/>
      <c r="E41" s="113"/>
      <c r="F41" s="113"/>
      <c r="G41" s="113"/>
      <c r="H41" s="113"/>
      <c r="I41" s="113"/>
    </row>
    <row r="42" spans="1:9" ht="13.5" thickBot="1">
      <c r="A42" s="124" t="s">
        <v>251</v>
      </c>
      <c r="B42" s="113"/>
      <c r="C42" s="113"/>
      <c r="D42" s="113"/>
      <c r="E42" s="113"/>
      <c r="F42" s="113"/>
      <c r="G42" s="113"/>
      <c r="H42" s="113"/>
      <c r="I42" s="113"/>
    </row>
    <row r="43" spans="1:9" ht="13.5" thickTop="1">
      <c r="A43" s="139"/>
      <c r="B43" s="140"/>
      <c r="C43" s="140"/>
      <c r="D43" s="140"/>
      <c r="E43" s="140"/>
      <c r="F43" s="140"/>
      <c r="G43" s="140"/>
      <c r="H43" s="140"/>
      <c r="I43" s="141"/>
    </row>
    <row r="44" spans="1:9" ht="12.75">
      <c r="A44" s="245"/>
      <c r="B44" s="142" t="s">
        <v>234</v>
      </c>
      <c r="C44" s="142"/>
      <c r="D44" s="142"/>
      <c r="E44" s="246"/>
      <c r="F44" s="142" t="s">
        <v>235</v>
      </c>
      <c r="G44" s="142"/>
      <c r="H44" s="142"/>
      <c r="I44" s="143"/>
    </row>
    <row r="45" spans="1:9" ht="12.75">
      <c r="A45" s="144"/>
      <c r="B45" s="142"/>
      <c r="C45" s="142"/>
      <c r="D45" s="142"/>
      <c r="E45" s="142"/>
      <c r="F45" s="142"/>
      <c r="G45" s="142"/>
      <c r="H45" s="142"/>
      <c r="I45" s="143"/>
    </row>
    <row r="46" spans="1:9" ht="12.75">
      <c r="A46" s="144" t="s">
        <v>236</v>
      </c>
      <c r="B46" s="142"/>
      <c r="C46" s="142"/>
      <c r="D46" s="142"/>
      <c r="E46" s="142"/>
      <c r="F46" s="142"/>
      <c r="G46" s="142"/>
      <c r="H46" s="142"/>
      <c r="I46" s="143"/>
    </row>
    <row r="47" spans="1:9" ht="12.75">
      <c r="A47" s="144"/>
      <c r="B47" s="142"/>
      <c r="C47" s="142"/>
      <c r="D47" s="142"/>
      <c r="E47" s="142"/>
      <c r="F47" s="142"/>
      <c r="G47" s="142"/>
      <c r="H47" s="142"/>
      <c r="I47" s="143"/>
    </row>
    <row r="48" spans="1:9" ht="12.75">
      <c r="A48" s="144" t="s">
        <v>237</v>
      </c>
      <c r="B48" s="142" t="s">
        <v>238</v>
      </c>
      <c r="C48" s="145" t="s">
        <v>239</v>
      </c>
      <c r="D48" s="146" t="s">
        <v>240</v>
      </c>
      <c r="E48" s="142" t="s">
        <v>241</v>
      </c>
      <c r="F48" s="142"/>
      <c r="G48" s="142"/>
      <c r="H48" s="142"/>
      <c r="I48" s="143" t="s">
        <v>242</v>
      </c>
    </row>
    <row r="49" spans="1:9" ht="12.75">
      <c r="A49" s="144"/>
      <c r="B49" s="142"/>
      <c r="C49" s="142"/>
      <c r="D49" s="142"/>
      <c r="E49" s="142"/>
      <c r="F49" s="142"/>
      <c r="G49" s="142"/>
      <c r="H49" s="142"/>
      <c r="I49" s="143"/>
    </row>
    <row r="50" spans="1:9" ht="12.75">
      <c r="A50" s="144" t="s">
        <v>243</v>
      </c>
      <c r="B50" s="142"/>
      <c r="C50" s="142"/>
      <c r="D50" s="142"/>
      <c r="E50" s="142" t="s">
        <v>230</v>
      </c>
      <c r="F50" s="142"/>
      <c r="G50" s="142"/>
      <c r="H50" s="142"/>
      <c r="I50" s="143"/>
    </row>
    <row r="51" spans="1:9" ht="12.75">
      <c r="A51" s="144"/>
      <c r="B51" s="142"/>
      <c r="C51" s="142"/>
      <c r="D51" s="142"/>
      <c r="E51" s="142"/>
      <c r="F51" s="142"/>
      <c r="G51" s="142"/>
      <c r="H51" s="142"/>
      <c r="I51" s="143"/>
    </row>
    <row r="52" spans="1:9" ht="12.75">
      <c r="A52" s="144" t="s">
        <v>244</v>
      </c>
      <c r="B52" s="142"/>
      <c r="C52" s="147" t="s">
        <v>245</v>
      </c>
      <c r="D52" s="142" t="s">
        <v>246</v>
      </c>
      <c r="E52" s="142"/>
      <c r="F52" s="142"/>
      <c r="G52" s="142"/>
      <c r="H52" s="142"/>
      <c r="I52" s="143"/>
    </row>
    <row r="53" spans="1:9" ht="12.75">
      <c r="A53" s="144"/>
      <c r="B53" s="142"/>
      <c r="C53" s="142"/>
      <c r="D53" s="142"/>
      <c r="E53" s="142"/>
      <c r="F53" s="142"/>
      <c r="G53" s="142"/>
      <c r="H53" s="142"/>
      <c r="I53" s="143"/>
    </row>
    <row r="54" spans="1:9" ht="12.75">
      <c r="A54" s="144" t="s">
        <v>247</v>
      </c>
      <c r="B54" s="142"/>
      <c r="C54" s="142"/>
      <c r="D54" s="142" t="s">
        <v>248</v>
      </c>
      <c r="E54" s="142"/>
      <c r="F54" s="142"/>
      <c r="G54" s="142"/>
      <c r="H54" s="142"/>
      <c r="I54" s="143"/>
    </row>
    <row r="55" spans="1:9" ht="13.5" thickBot="1">
      <c r="A55" s="148"/>
      <c r="B55" s="149"/>
      <c r="C55" s="149"/>
      <c r="D55" s="149"/>
      <c r="E55" s="149"/>
      <c r="F55" s="149"/>
      <c r="G55" s="149"/>
      <c r="H55" s="149"/>
      <c r="I55" s="150"/>
    </row>
    <row r="56" spans="1:9" ht="13.5" thickTop="1">
      <c r="A56" s="113"/>
      <c r="B56" s="113"/>
      <c r="C56" s="113"/>
      <c r="D56" s="113"/>
      <c r="E56" s="113"/>
      <c r="F56" s="113"/>
      <c r="G56" s="113"/>
      <c r="H56" s="113"/>
      <c r="I56" s="113"/>
    </row>
    <row r="57" spans="1:9" ht="12.75">
      <c r="A57" s="124" t="s">
        <v>252</v>
      </c>
      <c r="B57" s="113"/>
      <c r="C57" s="113"/>
      <c r="D57" s="113"/>
      <c r="E57" s="113"/>
      <c r="F57" s="113"/>
      <c r="G57" s="113"/>
      <c r="H57" s="113"/>
      <c r="I57" s="113"/>
    </row>
    <row r="58" spans="1:9" ht="13.5" thickBot="1">
      <c r="A58" s="113"/>
      <c r="B58" s="113"/>
      <c r="C58" s="113"/>
      <c r="D58" s="113"/>
      <c r="E58" s="113"/>
      <c r="F58" s="113"/>
      <c r="G58" s="113"/>
      <c r="H58" s="113"/>
      <c r="I58" s="113"/>
    </row>
    <row r="59" spans="1:9" ht="13.5" thickTop="1">
      <c r="A59" s="151" t="s">
        <v>253</v>
      </c>
      <c r="B59" s="152"/>
      <c r="C59" s="152"/>
      <c r="D59" s="152"/>
      <c r="E59" s="152"/>
      <c r="F59" s="152"/>
      <c r="G59" s="152"/>
      <c r="H59" s="152" t="s">
        <v>254</v>
      </c>
      <c r="I59" s="153"/>
    </row>
    <row r="60" spans="1:9" ht="12.75">
      <c r="A60" s="154"/>
      <c r="B60" s="155"/>
      <c r="C60" s="155"/>
      <c r="D60" s="155"/>
      <c r="E60" s="155"/>
      <c r="F60" s="155"/>
      <c r="G60" s="155"/>
      <c r="H60" s="155"/>
      <c r="I60" s="156"/>
    </row>
    <row r="61" spans="1:9" ht="13.5" thickBot="1">
      <c r="A61" s="157" t="s">
        <v>255</v>
      </c>
      <c r="B61" s="158"/>
      <c r="C61" s="158"/>
      <c r="D61" s="158"/>
      <c r="E61" s="158"/>
      <c r="F61" s="158"/>
      <c r="G61" s="158"/>
      <c r="H61" s="158"/>
      <c r="I61" s="159"/>
    </row>
    <row r="62" spans="1:9" ht="13.5" thickTop="1">
      <c r="A62" s="113"/>
      <c r="B62" s="113"/>
      <c r="C62" s="113"/>
      <c r="D62" s="113"/>
      <c r="E62" s="113"/>
      <c r="F62" s="113"/>
      <c r="G62" s="113"/>
      <c r="H62" s="113"/>
      <c r="I62" s="113"/>
    </row>
    <row r="63" spans="1:9" ht="12.75">
      <c r="A63" s="124" t="s">
        <v>256</v>
      </c>
      <c r="B63" s="124"/>
      <c r="C63" s="124"/>
      <c r="D63" s="124"/>
      <c r="E63" s="124"/>
      <c r="F63" s="124"/>
      <c r="G63" s="124"/>
      <c r="H63" s="124"/>
      <c r="I63" s="124"/>
    </row>
    <row r="64" spans="1:9" ht="12.75">
      <c r="A64" s="124"/>
      <c r="B64" s="124"/>
      <c r="C64" s="124"/>
      <c r="D64" s="124"/>
      <c r="E64" s="124"/>
      <c r="F64" s="124"/>
      <c r="G64" s="124"/>
      <c r="H64" s="124"/>
      <c r="I64" s="124"/>
    </row>
    <row r="65" spans="1:9" ht="12.75">
      <c r="A65" s="124" t="s">
        <v>257</v>
      </c>
      <c r="B65" s="124"/>
      <c r="C65" s="124"/>
      <c r="D65" s="124"/>
      <c r="E65" s="124"/>
      <c r="F65" s="124" t="s">
        <v>264</v>
      </c>
      <c r="G65" s="124"/>
      <c r="H65" s="124"/>
      <c r="I65" s="124"/>
    </row>
    <row r="66" spans="1:9" ht="12.75">
      <c r="A66" s="124" t="s">
        <v>258</v>
      </c>
      <c r="B66" s="124"/>
      <c r="C66" s="124"/>
      <c r="D66" s="124"/>
      <c r="E66" s="124"/>
      <c r="F66" s="124" t="s">
        <v>259</v>
      </c>
      <c r="G66" s="124"/>
      <c r="H66" s="124"/>
      <c r="I66" s="124"/>
    </row>
    <row r="67" spans="1:9" ht="12.75">
      <c r="A67" s="124" t="s">
        <v>260</v>
      </c>
      <c r="B67" s="124"/>
      <c r="C67" s="124"/>
      <c r="D67" s="124"/>
      <c r="E67" s="124"/>
      <c r="F67" s="124"/>
      <c r="G67" s="124"/>
      <c r="H67" s="124"/>
      <c r="I67" s="124"/>
    </row>
  </sheetData>
  <sheetProtection password="9116" sheet="1" objects="1" scenarios="1"/>
  <mergeCells count="1">
    <mergeCell ref="A1:I1"/>
  </mergeCells>
  <printOptions/>
  <pageMargins left="0.75" right="0.75" top="1" bottom="1" header="0.5" footer="0.5"/>
  <pageSetup horizontalDpi="1200" verticalDpi="1200" orientation="portrait" scale="71" r:id="rId3"/>
  <drawing r:id="rId2"/>
  <legacyDrawing r:id="rId1"/>
</worksheet>
</file>

<file path=xl/worksheets/sheet5.xml><?xml version="1.0" encoding="utf-8"?>
<worksheet xmlns="http://schemas.openxmlformats.org/spreadsheetml/2006/main" xmlns:r="http://schemas.openxmlformats.org/officeDocument/2006/relationships">
  <sheetPr codeName="Sheet3"/>
  <dimension ref="A1:A3"/>
  <sheetViews>
    <sheetView showGridLines="0" workbookViewId="0" topLeftCell="A9">
      <selection activeCell="K55" sqref="K55"/>
    </sheetView>
  </sheetViews>
  <sheetFormatPr defaultColWidth="9.140625" defaultRowHeight="12.75"/>
  <sheetData>
    <row r="1" ht="12.75">
      <c r="A1" s="90" t="s">
        <v>150</v>
      </c>
    </row>
    <row r="3" s="96" customFormat="1" ht="11.25">
      <c r="A3" s="95"/>
    </row>
    <row r="4" s="96" customFormat="1" ht="11.25"/>
    <row r="5" s="96" customFormat="1" ht="11.25"/>
    <row r="6" s="96" customFormat="1" ht="11.25"/>
    <row r="7" s="96" customFormat="1" ht="11.25"/>
    <row r="8" s="96" customFormat="1" ht="11.25"/>
    <row r="9" s="96" customFormat="1" ht="11.25"/>
    <row r="10" s="96" customFormat="1" ht="11.25"/>
    <row r="11" s="96" customFormat="1" ht="11.25"/>
    <row r="12" s="96" customFormat="1" ht="11.25"/>
    <row r="13" s="96" customFormat="1" ht="11.25"/>
    <row r="14" s="96" customFormat="1" ht="11.25"/>
    <row r="15" s="96" customFormat="1" ht="11.25"/>
    <row r="16" s="96" customFormat="1" ht="11.25"/>
    <row r="17" s="96" customFormat="1" ht="11.25"/>
    <row r="18" s="96" customFormat="1" ht="11.25"/>
    <row r="19" s="96" customFormat="1" ht="11.25"/>
    <row r="20" s="96" customFormat="1" ht="11.25"/>
    <row r="21" s="96" customFormat="1" ht="11.25"/>
    <row r="22" s="96" customFormat="1" ht="11.25"/>
    <row r="23" s="96" customFormat="1" ht="11.25"/>
    <row r="24" s="96" customFormat="1" ht="11.25"/>
    <row r="25" s="96" customFormat="1" ht="11.25"/>
    <row r="26" s="96" customFormat="1" ht="11.25"/>
    <row r="27" s="96" customFormat="1" ht="11.25"/>
    <row r="28" s="96" customFormat="1" ht="11.25"/>
    <row r="29" s="96" customFormat="1" ht="11.25"/>
    <row r="30" s="96" customFormat="1" ht="11.25"/>
    <row r="31" s="96" customFormat="1" ht="11.25"/>
  </sheetData>
  <sheetProtection password="9116" sheet="1" objects="1" scenarios="1"/>
  <printOptions/>
  <pageMargins left="0.75" right="0.75" top="1" bottom="1" header="0.5" footer="0.5"/>
  <pageSetup orientation="portrait" scale="95" r:id="rId2"/>
  <drawing r:id="rId1"/>
</worksheet>
</file>

<file path=xl/worksheets/sheet6.xml><?xml version="1.0" encoding="utf-8"?>
<worksheet xmlns="http://schemas.openxmlformats.org/spreadsheetml/2006/main" xmlns:r="http://schemas.openxmlformats.org/officeDocument/2006/relationships">
  <sheetPr codeName="Sheet8"/>
  <dimension ref="A6:E29"/>
  <sheetViews>
    <sheetView workbookViewId="0" topLeftCell="A1">
      <selection activeCell="G17" sqref="G17"/>
    </sheetView>
  </sheetViews>
  <sheetFormatPr defaultColWidth="9.140625" defaultRowHeight="12.75"/>
  <cols>
    <col min="1" max="1" width="15.140625" style="0" customWidth="1"/>
    <col min="2" max="2" width="23.00390625" style="0" customWidth="1"/>
    <col min="3" max="3" width="18.00390625" style="0" customWidth="1"/>
    <col min="4" max="4" width="24.7109375" style="0" customWidth="1"/>
  </cols>
  <sheetData>
    <row r="4" ht="6" customHeight="1"/>
    <row r="5" ht="6" customHeight="1"/>
    <row r="6" ht="18" customHeight="1">
      <c r="B6" s="265" t="s">
        <v>281</v>
      </c>
    </row>
    <row r="7" ht="12.75">
      <c r="B7" s="266" t="s">
        <v>411</v>
      </c>
    </row>
    <row r="8" ht="7.5" customHeight="1"/>
    <row r="9" ht="15">
      <c r="A9" s="267" t="s">
        <v>412</v>
      </c>
    </row>
    <row r="10" spans="1:5" ht="59.25" customHeight="1">
      <c r="A10" s="296" t="s">
        <v>413</v>
      </c>
      <c r="B10" s="297"/>
      <c r="C10" s="297"/>
      <c r="D10" s="297"/>
      <c r="E10" s="268"/>
    </row>
    <row r="11" spans="1:5" ht="45.75" customHeight="1">
      <c r="A11" s="296" t="s">
        <v>414</v>
      </c>
      <c r="B11" s="297"/>
      <c r="C11" s="297"/>
      <c r="D11" s="297"/>
      <c r="E11" s="268"/>
    </row>
    <row r="12" spans="1:4" ht="19.5" customHeight="1" thickBot="1">
      <c r="A12" s="269" t="s">
        <v>415</v>
      </c>
      <c r="B12" s="270"/>
      <c r="C12" s="270"/>
      <c r="D12" s="270"/>
    </row>
    <row r="13" spans="1:4" ht="30" customHeight="1" thickTop="1">
      <c r="A13" s="298" t="s">
        <v>421</v>
      </c>
      <c r="B13" s="299"/>
      <c r="C13" s="299"/>
      <c r="D13" s="300"/>
    </row>
    <row r="14" spans="1:4" ht="28.5" customHeight="1">
      <c r="A14" s="301" t="s">
        <v>422</v>
      </c>
      <c r="B14" s="302"/>
      <c r="C14" s="302"/>
      <c r="D14" s="303"/>
    </row>
    <row r="15" spans="1:4" ht="18" customHeight="1">
      <c r="A15" s="301" t="s">
        <v>423</v>
      </c>
      <c r="B15" s="302"/>
      <c r="C15" s="302"/>
      <c r="D15" s="303"/>
    </row>
    <row r="16" spans="1:4" ht="31.5" customHeight="1">
      <c r="A16" s="301" t="s">
        <v>424</v>
      </c>
      <c r="B16" s="302"/>
      <c r="C16" s="302"/>
      <c r="D16" s="303"/>
    </row>
    <row r="17" spans="1:4" ht="16.5" customHeight="1">
      <c r="A17" s="301" t="s">
        <v>425</v>
      </c>
      <c r="B17" s="302"/>
      <c r="C17" s="302"/>
      <c r="D17" s="303"/>
    </row>
    <row r="18" spans="1:4" ht="17.25" customHeight="1">
      <c r="A18" s="301" t="s">
        <v>426</v>
      </c>
      <c r="B18" s="302"/>
      <c r="C18" s="302"/>
      <c r="D18" s="303"/>
    </row>
    <row r="19" spans="1:4" ht="15" customHeight="1">
      <c r="A19" s="301" t="s">
        <v>427</v>
      </c>
      <c r="B19" s="302"/>
      <c r="C19" s="302"/>
      <c r="D19" s="303"/>
    </row>
    <row r="20" spans="1:4" ht="28.5" customHeight="1">
      <c r="A20" s="301" t="s">
        <v>431</v>
      </c>
      <c r="B20" s="302"/>
      <c r="C20" s="302"/>
      <c r="D20" s="303"/>
    </row>
    <row r="21" spans="1:4" ht="29.25" customHeight="1">
      <c r="A21" s="301" t="s">
        <v>428</v>
      </c>
      <c r="B21" s="302"/>
      <c r="C21" s="302"/>
      <c r="D21" s="303"/>
    </row>
    <row r="22" spans="1:4" ht="28.5" customHeight="1">
      <c r="A22" s="301" t="s">
        <v>429</v>
      </c>
      <c r="B22" s="302"/>
      <c r="C22" s="302"/>
      <c r="D22" s="303"/>
    </row>
    <row r="23" spans="1:4" ht="30" customHeight="1" thickBot="1">
      <c r="A23" s="304" t="s">
        <v>430</v>
      </c>
      <c r="B23" s="305"/>
      <c r="C23" s="305"/>
      <c r="D23" s="306"/>
    </row>
    <row r="24" spans="1:4" ht="25.5" customHeight="1" thickBot="1">
      <c r="A24" s="307" t="s">
        <v>416</v>
      </c>
      <c r="B24" s="308"/>
      <c r="C24" s="308"/>
      <c r="D24" s="309"/>
    </row>
    <row r="25" spans="1:4" ht="18" customHeight="1" thickBot="1" thickTop="1">
      <c r="A25" s="271" t="s">
        <v>417</v>
      </c>
      <c r="B25" s="310"/>
      <c r="C25" s="311"/>
      <c r="D25" s="312"/>
    </row>
    <row r="26" spans="1:4" ht="16.5" customHeight="1">
      <c r="A26" s="291" t="s">
        <v>418</v>
      </c>
      <c r="B26" s="293"/>
      <c r="C26" s="272" t="s">
        <v>419</v>
      </c>
      <c r="D26" s="294"/>
    </row>
    <row r="27" spans="1:4" ht="18.75" customHeight="1" thickBot="1">
      <c r="A27" s="292"/>
      <c r="B27" s="278"/>
      <c r="C27" s="273" t="s">
        <v>6</v>
      </c>
      <c r="D27" s="295"/>
    </row>
    <row r="28" spans="1:4" ht="13.5" thickBot="1">
      <c r="A28" s="274" t="s">
        <v>420</v>
      </c>
      <c r="B28" s="275"/>
      <c r="C28" s="276" t="s">
        <v>6</v>
      </c>
      <c r="D28" s="277"/>
    </row>
    <row r="29" ht="13.5" thickTop="1">
      <c r="A29" s="113"/>
    </row>
  </sheetData>
  <mergeCells count="18">
    <mergeCell ref="A22:D22"/>
    <mergeCell ref="A23:D23"/>
    <mergeCell ref="A24:D24"/>
    <mergeCell ref="B25:D25"/>
    <mergeCell ref="A18:D18"/>
    <mergeCell ref="A19:D19"/>
    <mergeCell ref="A20:D20"/>
    <mergeCell ref="A21:D21"/>
    <mergeCell ref="A26:A27"/>
    <mergeCell ref="B26:B27"/>
    <mergeCell ref="D26:D27"/>
    <mergeCell ref="A10:D10"/>
    <mergeCell ref="A11:D11"/>
    <mergeCell ref="A13:D13"/>
    <mergeCell ref="A14:D14"/>
    <mergeCell ref="A15:D15"/>
    <mergeCell ref="A16:D16"/>
    <mergeCell ref="A17:D17"/>
  </mergeCells>
  <printOptions/>
  <pageMargins left="0.58" right="0.23" top="0.63" bottom="0.68" header="0.5" footer="0.5"/>
  <pageSetup horizontalDpi="1200" verticalDpi="1200" orientation="portrait" scale="120" r:id="rId4"/>
  <drawing r:id="rId3"/>
  <legacyDrawing r:id="rId2"/>
  <oleObjects>
    <oleObject progId="Word.Picture.8" shapeId="412056" r:id="rId1"/>
  </oleObjects>
</worksheet>
</file>

<file path=xl/worksheets/sheet7.xml><?xml version="1.0" encoding="utf-8"?>
<worksheet xmlns="http://schemas.openxmlformats.org/spreadsheetml/2006/main" xmlns:r="http://schemas.openxmlformats.org/officeDocument/2006/relationships">
  <sheetPr codeName="Sheet5"/>
  <dimension ref="A1:AH97"/>
  <sheetViews>
    <sheetView showGridLines="0" workbookViewId="0" topLeftCell="A58">
      <selection activeCell="AD23" sqref="AD23"/>
    </sheetView>
  </sheetViews>
  <sheetFormatPr defaultColWidth="9.140625" defaultRowHeight="12.75"/>
  <cols>
    <col min="1" max="1" width="3.421875" style="0" customWidth="1"/>
    <col min="10" max="10" width="8.28125" style="0" customWidth="1"/>
    <col min="13" max="15" width="0" style="0" hidden="1" customWidth="1"/>
    <col min="16" max="16" width="11.7109375" style="0" hidden="1" customWidth="1"/>
    <col min="17" max="22" width="0" style="0" hidden="1" customWidth="1"/>
    <col min="23" max="23" width="12.421875" style="0" hidden="1" customWidth="1"/>
    <col min="24" max="29" width="0" style="0" hidden="1" customWidth="1"/>
  </cols>
  <sheetData>
    <row r="1" spans="18:24" ht="12.75" hidden="1">
      <c r="R1" s="52" t="s">
        <v>78</v>
      </c>
      <c r="W1" s="56" t="s">
        <v>79</v>
      </c>
      <c r="X1" s="54">
        <v>0.56</v>
      </c>
    </row>
    <row r="2" spans="2:5" ht="12.75" hidden="1">
      <c r="B2" s="38" t="s">
        <v>38</v>
      </c>
      <c r="E2" s="39" t="s">
        <v>39</v>
      </c>
    </row>
    <row r="3" spans="28:34" ht="12.75" hidden="1">
      <c r="AB3" t="s">
        <v>75</v>
      </c>
      <c r="AC3" t="s">
        <v>76</v>
      </c>
      <c r="AH3" s="14" t="s">
        <v>81</v>
      </c>
    </row>
    <row r="4" spans="2:34" ht="12.75" hidden="1">
      <c r="B4" s="6" t="s">
        <v>40</v>
      </c>
      <c r="C4" s="3" t="s">
        <v>41</v>
      </c>
      <c r="D4" s="3" t="s">
        <v>42</v>
      </c>
      <c r="E4" s="3" t="s">
        <v>43</v>
      </c>
      <c r="F4" s="3" t="s">
        <v>44</v>
      </c>
      <c r="G4" s="3" t="s">
        <v>45</v>
      </c>
      <c r="H4" s="3" t="s">
        <v>46</v>
      </c>
      <c r="I4" s="3" t="s">
        <v>47</v>
      </c>
      <c r="J4" s="3" t="s">
        <v>48</v>
      </c>
      <c r="K4" s="3" t="s">
        <v>49</v>
      </c>
      <c r="L4" s="40" t="s">
        <v>50</v>
      </c>
      <c r="P4" t="s">
        <v>65</v>
      </c>
      <c r="Q4" s="3">
        <v>1</v>
      </c>
      <c r="R4" s="3">
        <v>2</v>
      </c>
      <c r="S4" s="3">
        <v>3</v>
      </c>
      <c r="T4" s="3">
        <v>4</v>
      </c>
      <c r="U4" s="3">
        <v>5</v>
      </c>
      <c r="V4" s="3">
        <v>6</v>
      </c>
      <c r="W4" s="3">
        <v>7</v>
      </c>
      <c r="X4" s="3">
        <v>8</v>
      </c>
      <c r="Y4" s="3">
        <v>9</v>
      </c>
      <c r="Z4" s="40">
        <v>10</v>
      </c>
      <c r="AA4" t="s">
        <v>66</v>
      </c>
      <c r="AH4" s="57" t="s">
        <v>75</v>
      </c>
    </row>
    <row r="5" spans="2:34" ht="12.75" hidden="1">
      <c r="B5" s="41">
        <v>0.75</v>
      </c>
      <c r="C5" s="13">
        <v>0.33</v>
      </c>
      <c r="D5" s="13">
        <v>1.18</v>
      </c>
      <c r="E5" s="13">
        <v>2.52</v>
      </c>
      <c r="F5" s="13">
        <v>4.27</v>
      </c>
      <c r="G5" s="13">
        <v>6.43</v>
      </c>
      <c r="H5" s="13">
        <v>8.99</v>
      </c>
      <c r="I5" s="13">
        <v>12.05</v>
      </c>
      <c r="J5" s="13">
        <v>15.34</v>
      </c>
      <c r="K5" s="13">
        <v>19.08</v>
      </c>
      <c r="L5" s="42"/>
      <c r="N5" t="s">
        <v>24</v>
      </c>
      <c r="O5">
        <v>0.824</v>
      </c>
      <c r="P5">
        <f aca="true" t="shared" si="0" ref="P5:P11">PI()/4*O5^2</f>
        <v>0.5332665033909457</v>
      </c>
      <c r="Q5" s="13">
        <v>0.33</v>
      </c>
      <c r="R5" s="13">
        <v>1.18</v>
      </c>
      <c r="S5" s="13">
        <v>2.52</v>
      </c>
      <c r="T5" s="13">
        <v>4.27</v>
      </c>
      <c r="U5" s="13">
        <v>6.43</v>
      </c>
      <c r="V5" s="13">
        <v>8.99</v>
      </c>
      <c r="W5" s="13">
        <v>12.05</v>
      </c>
      <c r="X5" s="13">
        <v>15.34</v>
      </c>
      <c r="Y5" s="13">
        <v>19.08</v>
      </c>
      <c r="Z5" s="42"/>
      <c r="AB5">
        <v>0.102417</v>
      </c>
      <c r="AC5">
        <v>1.85</v>
      </c>
      <c r="AH5" s="57">
        <v>0.102417</v>
      </c>
    </row>
    <row r="6" spans="2:34" ht="12.75" hidden="1">
      <c r="B6" s="43">
        <v>1</v>
      </c>
      <c r="C6" s="13">
        <v>0.1</v>
      </c>
      <c r="D6" s="13">
        <v>0.37</v>
      </c>
      <c r="E6" s="13">
        <v>0.78</v>
      </c>
      <c r="F6" s="13">
        <v>1.34</v>
      </c>
      <c r="G6" s="13">
        <v>2.03</v>
      </c>
      <c r="H6" s="13">
        <v>2.77</v>
      </c>
      <c r="I6" s="13">
        <v>3.74</v>
      </c>
      <c r="J6" s="13">
        <v>4.72</v>
      </c>
      <c r="K6" s="13">
        <v>5.88</v>
      </c>
      <c r="L6" s="44">
        <v>7.2</v>
      </c>
      <c r="N6" t="s">
        <v>25</v>
      </c>
      <c r="O6">
        <v>1.049</v>
      </c>
      <c r="P6">
        <f t="shared" si="0"/>
        <v>0.8642529244007154</v>
      </c>
      <c r="Q6" s="13">
        <v>0.1</v>
      </c>
      <c r="R6" s="13">
        <v>0.37</v>
      </c>
      <c r="S6" s="13">
        <v>0.78</v>
      </c>
      <c r="T6" s="13">
        <v>1.34</v>
      </c>
      <c r="U6" s="13">
        <v>2.03</v>
      </c>
      <c r="V6" s="13">
        <v>2.77</v>
      </c>
      <c r="W6" s="13">
        <v>3.74</v>
      </c>
      <c r="X6" s="13">
        <v>4.72</v>
      </c>
      <c r="Y6" s="13">
        <v>5.88</v>
      </c>
      <c r="Z6" s="44">
        <v>7.2</v>
      </c>
      <c r="AB6">
        <v>0.079208</v>
      </c>
      <c r="AC6">
        <v>1.84</v>
      </c>
      <c r="AH6" s="57">
        <v>0.07742142286263504</v>
      </c>
    </row>
    <row r="7" spans="2:34" ht="12.75" hidden="1">
      <c r="B7" s="41">
        <v>1.25</v>
      </c>
      <c r="C7" s="13">
        <v>0.03</v>
      </c>
      <c r="D7" s="13">
        <v>0.01</v>
      </c>
      <c r="E7" s="13">
        <v>0.2</v>
      </c>
      <c r="F7" s="13">
        <v>0.35</v>
      </c>
      <c r="G7" s="13">
        <v>0.53</v>
      </c>
      <c r="H7" s="13">
        <v>0.73</v>
      </c>
      <c r="I7" s="13">
        <v>0.98</v>
      </c>
      <c r="J7" s="13">
        <v>1.26</v>
      </c>
      <c r="K7" s="13">
        <v>1.54</v>
      </c>
      <c r="L7" s="44">
        <v>1.92</v>
      </c>
      <c r="N7" t="s">
        <v>26</v>
      </c>
      <c r="O7">
        <v>1.38</v>
      </c>
      <c r="P7">
        <f t="shared" si="0"/>
        <v>1.4957122623741002</v>
      </c>
      <c r="Q7" s="13">
        <v>0.03</v>
      </c>
      <c r="R7" s="51">
        <v>0.1</v>
      </c>
      <c r="S7" s="13">
        <v>0.2</v>
      </c>
      <c r="T7" s="13">
        <v>0.35</v>
      </c>
      <c r="U7" s="13">
        <v>0.53</v>
      </c>
      <c r="V7" s="13">
        <v>0.73</v>
      </c>
      <c r="W7" s="13">
        <v>0.98</v>
      </c>
      <c r="X7" s="13">
        <v>1.26</v>
      </c>
      <c r="Y7" s="13">
        <v>1.54</v>
      </c>
      <c r="Z7" s="44">
        <v>1.92</v>
      </c>
      <c r="AB7">
        <v>0.055537</v>
      </c>
      <c r="AC7">
        <v>1.86</v>
      </c>
      <c r="AH7" s="57">
        <v>0.056508022660531766</v>
      </c>
    </row>
    <row r="8" spans="2:34" ht="12.75" hidden="1">
      <c r="B8" s="41">
        <v>1.5</v>
      </c>
      <c r="C8" s="13">
        <v>0.01</v>
      </c>
      <c r="D8" s="13">
        <v>0.04</v>
      </c>
      <c r="E8" s="13">
        <v>0.1</v>
      </c>
      <c r="F8" s="13">
        <v>0.16</v>
      </c>
      <c r="G8" s="13">
        <v>0.25</v>
      </c>
      <c r="H8" s="13">
        <v>0.34</v>
      </c>
      <c r="I8" s="13">
        <v>0.46</v>
      </c>
      <c r="J8" s="13">
        <v>0.56</v>
      </c>
      <c r="K8" s="13">
        <v>0.73</v>
      </c>
      <c r="L8" s="44">
        <v>0.9</v>
      </c>
      <c r="N8" t="s">
        <v>27</v>
      </c>
      <c r="O8">
        <v>1.61</v>
      </c>
      <c r="P8">
        <f t="shared" si="0"/>
        <v>2.0358305793425258</v>
      </c>
      <c r="Q8" s="13">
        <v>0.01</v>
      </c>
      <c r="R8" s="13">
        <v>0.04</v>
      </c>
      <c r="S8" s="13">
        <v>0.1</v>
      </c>
      <c r="T8" s="13">
        <v>0.16</v>
      </c>
      <c r="U8" s="13">
        <v>0.25</v>
      </c>
      <c r="V8" s="13">
        <v>0.34</v>
      </c>
      <c r="W8" s="13">
        <v>0.46</v>
      </c>
      <c r="X8" s="53">
        <v>0.58</v>
      </c>
      <c r="Y8" s="13">
        <v>0.73</v>
      </c>
      <c r="Z8" s="44">
        <v>0.9</v>
      </c>
      <c r="AB8">
        <v>0.044876</v>
      </c>
      <c r="AC8">
        <v>1.88</v>
      </c>
      <c r="AH8" s="57">
        <v>0.0468366650480296</v>
      </c>
    </row>
    <row r="9" spans="2:34" ht="12.75" hidden="1">
      <c r="B9" s="43">
        <v>2</v>
      </c>
      <c r="C9" s="45"/>
      <c r="D9" s="45"/>
      <c r="E9" s="13">
        <v>0.03</v>
      </c>
      <c r="F9" s="13">
        <v>0.05</v>
      </c>
      <c r="G9" s="13">
        <v>0.07</v>
      </c>
      <c r="H9" s="13">
        <v>0.1</v>
      </c>
      <c r="I9" s="13">
        <v>0.14</v>
      </c>
      <c r="J9" s="13">
        <v>0.17</v>
      </c>
      <c r="K9" s="13">
        <v>0.22</v>
      </c>
      <c r="L9" s="44">
        <v>0.26</v>
      </c>
      <c r="N9" t="s">
        <v>28</v>
      </c>
      <c r="O9">
        <v>2.067</v>
      </c>
      <c r="P9">
        <f t="shared" si="0"/>
        <v>3.355605013735801</v>
      </c>
      <c r="Q9" s="45"/>
      <c r="R9" s="45"/>
      <c r="S9" s="13">
        <v>0.03</v>
      </c>
      <c r="T9" s="13">
        <v>0.05</v>
      </c>
      <c r="U9" s="13">
        <v>0.07</v>
      </c>
      <c r="V9" s="13">
        <v>0.1</v>
      </c>
      <c r="W9" s="13">
        <v>0.14</v>
      </c>
      <c r="X9" s="13">
        <v>0.17</v>
      </c>
      <c r="Y9" s="13">
        <v>0.22</v>
      </c>
      <c r="Z9" s="44">
        <v>0.26</v>
      </c>
      <c r="AB9">
        <v>0.035117</v>
      </c>
      <c r="AC9">
        <v>1.84</v>
      </c>
      <c r="AH9" s="57">
        <v>0.034792866028534424</v>
      </c>
    </row>
    <row r="10" spans="2:34" ht="12.75" hidden="1">
      <c r="B10" s="41">
        <v>2.5</v>
      </c>
      <c r="C10" s="45"/>
      <c r="D10" s="45"/>
      <c r="E10" s="45"/>
      <c r="F10" s="45"/>
      <c r="G10" s="13">
        <v>0.03</v>
      </c>
      <c r="H10" s="13">
        <v>0.04</v>
      </c>
      <c r="I10" s="13">
        <v>0.06</v>
      </c>
      <c r="J10" s="13">
        <v>0.07</v>
      </c>
      <c r="K10" s="13">
        <v>0.09</v>
      </c>
      <c r="L10" s="44">
        <v>0.11</v>
      </c>
      <c r="N10" t="s">
        <v>29</v>
      </c>
      <c r="O10">
        <v>2.469</v>
      </c>
      <c r="P10">
        <f t="shared" si="0"/>
        <v>4.787756573542471</v>
      </c>
      <c r="Q10" s="45"/>
      <c r="R10" s="45"/>
      <c r="S10" s="45"/>
      <c r="T10" s="45"/>
      <c r="U10" s="13">
        <v>0.03</v>
      </c>
      <c r="V10" s="13">
        <v>0.04</v>
      </c>
      <c r="W10" s="55">
        <v>0.055</v>
      </c>
      <c r="X10" s="13">
        <v>0.07</v>
      </c>
      <c r="Y10" s="13">
        <v>0.09</v>
      </c>
      <c r="Z10" s="44">
        <v>0.11</v>
      </c>
      <c r="AB10">
        <v>0.026454</v>
      </c>
      <c r="AC10">
        <v>1.93</v>
      </c>
      <c r="AD10" t="s">
        <v>80</v>
      </c>
      <c r="AH10">
        <v>0.027723555614082598</v>
      </c>
    </row>
    <row r="11" spans="2:26" ht="12.75" hidden="1">
      <c r="B11" s="43">
        <v>3</v>
      </c>
      <c r="C11" s="46"/>
      <c r="D11" s="46"/>
      <c r="E11" s="46"/>
      <c r="F11" s="46"/>
      <c r="G11" s="46"/>
      <c r="H11" s="46"/>
      <c r="I11" s="46"/>
      <c r="J11" s="47">
        <v>0.03</v>
      </c>
      <c r="K11" s="47">
        <v>0.03</v>
      </c>
      <c r="L11" s="48">
        <v>0.04</v>
      </c>
      <c r="N11" t="s">
        <v>55</v>
      </c>
      <c r="O11">
        <v>3.216</v>
      </c>
      <c r="P11">
        <f t="shared" si="0"/>
        <v>8.1231030270516</v>
      </c>
      <c r="Q11" s="46"/>
      <c r="R11" s="46"/>
      <c r="S11" s="46"/>
      <c r="T11" s="46"/>
      <c r="U11" s="46"/>
      <c r="V11" s="46"/>
      <c r="W11" s="46"/>
      <c r="X11" s="47">
        <v>0.03</v>
      </c>
      <c r="Y11" s="47">
        <v>0.03</v>
      </c>
      <c r="Z11" s="48">
        <v>0.04</v>
      </c>
    </row>
    <row r="12" ht="12.75" hidden="1"/>
    <row r="13" ht="12.75" hidden="1"/>
    <row r="14" ht="12.75">
      <c r="D14" s="39" t="s">
        <v>51</v>
      </c>
    </row>
    <row r="16" spans="2:27" ht="12.75">
      <c r="B16" s="313" t="s">
        <v>118</v>
      </c>
      <c r="C16" s="313"/>
      <c r="D16" s="89" t="s">
        <v>24</v>
      </c>
      <c r="E16" s="89" t="s">
        <v>25</v>
      </c>
      <c r="F16" s="89" t="s">
        <v>52</v>
      </c>
      <c r="G16" s="89" t="s">
        <v>53</v>
      </c>
      <c r="H16" s="89" t="s">
        <v>28</v>
      </c>
      <c r="I16" s="89" t="s">
        <v>54</v>
      </c>
      <c r="J16" s="89" t="s">
        <v>55</v>
      </c>
      <c r="O16" t="s">
        <v>74</v>
      </c>
      <c r="P16" s="50" t="s">
        <v>55</v>
      </c>
      <c r="Q16">
        <f aca="true" t="shared" si="1" ref="Q16:Z16">Q4/$P11</f>
        <v>0.12310566499892894</v>
      </c>
      <c r="R16">
        <f t="shared" si="1"/>
        <v>0.2462113299978579</v>
      </c>
      <c r="S16">
        <f t="shared" si="1"/>
        <v>0.36931699499678683</v>
      </c>
      <c r="T16">
        <f t="shared" si="1"/>
        <v>0.4924226599957158</v>
      </c>
      <c r="U16">
        <f t="shared" si="1"/>
        <v>0.6155283249946447</v>
      </c>
      <c r="V16">
        <f t="shared" si="1"/>
        <v>0.7386339899935737</v>
      </c>
      <c r="W16">
        <f t="shared" si="1"/>
        <v>0.8617396549925026</v>
      </c>
      <c r="X16">
        <f t="shared" si="1"/>
        <v>0.9848453199914315</v>
      </c>
      <c r="Y16">
        <f t="shared" si="1"/>
        <v>1.1079509849903606</v>
      </c>
      <c r="Z16">
        <f t="shared" si="1"/>
        <v>1.2310566499892894</v>
      </c>
      <c r="AA16" t="s">
        <v>77</v>
      </c>
    </row>
    <row r="17" spans="2:27" ht="12.75">
      <c r="B17" s="314" t="s">
        <v>56</v>
      </c>
      <c r="C17" s="315"/>
      <c r="D17" s="43">
        <v>5</v>
      </c>
      <c r="E17" s="43">
        <v>6</v>
      </c>
      <c r="F17" s="43">
        <v>8.5</v>
      </c>
      <c r="G17" s="43">
        <v>10</v>
      </c>
      <c r="H17" s="43">
        <v>12</v>
      </c>
      <c r="I17" s="43">
        <v>15</v>
      </c>
      <c r="J17" s="43">
        <v>18</v>
      </c>
      <c r="Q17">
        <f aca="true" t="shared" si="2" ref="Q17:Z17">Q16^$Q$23</f>
        <v>0.02074982179320768</v>
      </c>
      <c r="R17">
        <f t="shared" si="2"/>
        <v>0.07480314596088286</v>
      </c>
      <c r="S17">
        <f t="shared" si="2"/>
        <v>0.15837575287779782</v>
      </c>
      <c r="T17">
        <f t="shared" si="2"/>
        <v>0.2696654796079645</v>
      </c>
      <c r="U17">
        <f t="shared" si="2"/>
        <v>0.40748242232988147</v>
      </c>
      <c r="V17">
        <f t="shared" si="2"/>
        <v>0.5709448821898152</v>
      </c>
      <c r="W17">
        <f t="shared" si="2"/>
        <v>0.7593565531707333</v>
      </c>
      <c r="X17">
        <f t="shared" si="2"/>
        <v>0.9721445529873979</v>
      </c>
      <c r="Y17">
        <f t="shared" si="2"/>
        <v>1.2088238323000922</v>
      </c>
      <c r="Z17">
        <f t="shared" si="2"/>
        <v>1.4689748865223495</v>
      </c>
      <c r="AA17" t="s">
        <v>69</v>
      </c>
    </row>
    <row r="18" spans="2:27" ht="12.75">
      <c r="B18" s="316" t="s">
        <v>57</v>
      </c>
      <c r="C18" s="317"/>
      <c r="D18" s="43">
        <v>4.5</v>
      </c>
      <c r="E18" s="43">
        <v>5.5</v>
      </c>
      <c r="F18" s="43">
        <v>8</v>
      </c>
      <c r="G18" s="43">
        <v>9</v>
      </c>
      <c r="H18" s="43">
        <v>11</v>
      </c>
      <c r="I18" s="43">
        <v>14</v>
      </c>
      <c r="J18" s="43">
        <v>16</v>
      </c>
      <c r="O18" s="4"/>
      <c r="Q18">
        <f aca="true" t="shared" si="3" ref="Q18:Z18">$Q$24*Q17+$Q$25</f>
        <v>0.000564584312534179</v>
      </c>
      <c r="R18">
        <f t="shared" si="3"/>
        <v>0.002035327491416986</v>
      </c>
      <c r="S18">
        <f t="shared" si="3"/>
        <v>0.004309264265096696</v>
      </c>
      <c r="T18">
        <f t="shared" si="3"/>
        <v>0.007337359372816396</v>
      </c>
      <c r="U18">
        <f t="shared" si="3"/>
        <v>0.01108723658321664</v>
      </c>
      <c r="V18">
        <f t="shared" si="3"/>
        <v>0.015534905649722864</v>
      </c>
      <c r="W18">
        <f t="shared" si="3"/>
        <v>0.020661420700999036</v>
      </c>
      <c r="X18">
        <f t="shared" si="3"/>
        <v>0.026451194116370758</v>
      </c>
      <c r="Y18">
        <f t="shared" si="3"/>
        <v>0.03289102813198548</v>
      </c>
      <c r="Z18">
        <f t="shared" si="3"/>
        <v>0.03996950839879887</v>
      </c>
      <c r="AA18" t="s">
        <v>67</v>
      </c>
    </row>
    <row r="19" spans="2:10" ht="12.75">
      <c r="B19" s="314" t="s">
        <v>58</v>
      </c>
      <c r="C19" s="315"/>
      <c r="D19" s="43">
        <v>2.2</v>
      </c>
      <c r="E19" s="43">
        <v>2.6</v>
      </c>
      <c r="F19" s="43">
        <v>3.5</v>
      </c>
      <c r="G19" s="43">
        <v>4.4</v>
      </c>
      <c r="H19" s="43">
        <v>5.5</v>
      </c>
      <c r="I19" s="43">
        <v>6.5</v>
      </c>
      <c r="J19" s="43">
        <v>8.5</v>
      </c>
    </row>
    <row r="20" spans="2:10" ht="12.75">
      <c r="B20" s="316" t="s">
        <v>59</v>
      </c>
      <c r="C20" s="317"/>
      <c r="D20" s="43">
        <v>1.75</v>
      </c>
      <c r="E20" s="43">
        <v>2.2</v>
      </c>
      <c r="F20" s="43">
        <v>3.25</v>
      </c>
      <c r="G20" s="43">
        <v>3.6</v>
      </c>
      <c r="H20" s="43">
        <v>4.5</v>
      </c>
      <c r="I20" s="43">
        <v>5.5</v>
      </c>
      <c r="J20" s="43">
        <v>7</v>
      </c>
    </row>
    <row r="21" spans="2:10" ht="12.75">
      <c r="B21" s="316" t="s">
        <v>60</v>
      </c>
      <c r="C21" s="317"/>
      <c r="D21" s="43">
        <v>1</v>
      </c>
      <c r="E21" s="43">
        <v>1.25</v>
      </c>
      <c r="F21" s="43">
        <v>1.75</v>
      </c>
      <c r="G21" s="43">
        <v>2</v>
      </c>
      <c r="H21" s="43">
        <v>2.5</v>
      </c>
      <c r="I21" s="43">
        <v>3</v>
      </c>
      <c r="J21" s="43">
        <v>3.75</v>
      </c>
    </row>
    <row r="22" spans="2:10" ht="12.75">
      <c r="B22" s="316" t="s">
        <v>61</v>
      </c>
      <c r="C22" s="317"/>
      <c r="D22" s="43">
        <v>1</v>
      </c>
      <c r="E22" s="43">
        <v>1.6</v>
      </c>
      <c r="F22" s="43">
        <v>2.4</v>
      </c>
      <c r="G22" s="43">
        <v>2.75</v>
      </c>
      <c r="H22" s="43">
        <v>3.5</v>
      </c>
      <c r="I22" s="43">
        <v>4.25</v>
      </c>
      <c r="J22" s="43">
        <v>5.2</v>
      </c>
    </row>
    <row r="23" spans="2:23" ht="12.75">
      <c r="B23" s="314" t="s">
        <v>62</v>
      </c>
      <c r="C23" s="315"/>
      <c r="D23" s="43">
        <v>0.45</v>
      </c>
      <c r="E23" s="43">
        <v>0.6</v>
      </c>
      <c r="F23" s="43">
        <v>0.8</v>
      </c>
      <c r="G23" s="43">
        <v>0.95</v>
      </c>
      <c r="H23" s="43">
        <v>1.2</v>
      </c>
      <c r="I23" s="43">
        <v>1.4</v>
      </c>
      <c r="J23" s="43">
        <v>1.7</v>
      </c>
      <c r="P23" s="4" t="s">
        <v>68</v>
      </c>
      <c r="Q23" s="49">
        <v>1.85</v>
      </c>
      <c r="U23" t="s">
        <v>73</v>
      </c>
      <c r="W23">
        <f>(T18-T10)^2+(U18-U10)^2+(V18-V10)^2+(W18-W10)^2+(X18-X10)^2+(Y18-Y10)^2+(Z18-Z10)^2</f>
        <v>0.012251411248084413</v>
      </c>
    </row>
    <row r="24" spans="2:18" ht="12.75">
      <c r="B24" s="316" t="s">
        <v>63</v>
      </c>
      <c r="C24" s="317"/>
      <c r="D24" s="43">
        <v>12</v>
      </c>
      <c r="E24" s="43">
        <v>15</v>
      </c>
      <c r="F24" s="43">
        <v>19</v>
      </c>
      <c r="G24" s="43">
        <v>23</v>
      </c>
      <c r="H24" s="43">
        <v>29</v>
      </c>
      <c r="I24" s="43">
        <v>35</v>
      </c>
      <c r="J24" s="43">
        <v>43</v>
      </c>
      <c r="P24" s="4" t="s">
        <v>70</v>
      </c>
      <c r="Q24">
        <f>INDEX(LINEST($X$11:$Z$11,$X$17:$Z$17,FALSE),1)</f>
        <v>0.02720911621125305</v>
      </c>
      <c r="R24" t="s">
        <v>72</v>
      </c>
    </row>
    <row r="25" spans="2:17" ht="12.75">
      <c r="B25" s="314" t="s">
        <v>64</v>
      </c>
      <c r="C25" s="315"/>
      <c r="D25" s="43">
        <v>5.5</v>
      </c>
      <c r="E25" s="43">
        <v>7</v>
      </c>
      <c r="F25" s="43">
        <v>9</v>
      </c>
      <c r="G25" s="43">
        <v>11</v>
      </c>
      <c r="H25" s="43">
        <v>14</v>
      </c>
      <c r="I25" s="43">
        <v>16</v>
      </c>
      <c r="J25" s="43">
        <v>20</v>
      </c>
      <c r="P25" s="4" t="s">
        <v>71</v>
      </c>
      <c r="Q25">
        <v>0</v>
      </c>
    </row>
    <row r="27" ht="12.75">
      <c r="A27" s="90" t="s">
        <v>119</v>
      </c>
    </row>
    <row r="29" spans="1:2" ht="12.75">
      <c r="A29" s="91" t="s">
        <v>120</v>
      </c>
      <c r="B29" t="s">
        <v>121</v>
      </c>
    </row>
    <row r="30" ht="12.75">
      <c r="B30" t="s">
        <v>122</v>
      </c>
    </row>
    <row r="32" spans="1:2" ht="12.75">
      <c r="A32" s="91" t="s">
        <v>123</v>
      </c>
      <c r="B32" t="s">
        <v>127</v>
      </c>
    </row>
    <row r="33" ht="12.75">
      <c r="B33" t="s">
        <v>128</v>
      </c>
    </row>
    <row r="35" spans="1:2" ht="12.75">
      <c r="A35" s="91" t="s">
        <v>126</v>
      </c>
      <c r="B35" t="s">
        <v>124</v>
      </c>
    </row>
    <row r="36" ht="12.75">
      <c r="B36" t="s">
        <v>125</v>
      </c>
    </row>
    <row r="37" ht="12.75">
      <c r="B37" t="s">
        <v>397</v>
      </c>
    </row>
    <row r="38" ht="12.75">
      <c r="B38" t="s">
        <v>398</v>
      </c>
    </row>
    <row r="39" ht="12.75">
      <c r="B39" t="s">
        <v>399</v>
      </c>
    </row>
    <row r="40" ht="12.75">
      <c r="B40" t="s">
        <v>402</v>
      </c>
    </row>
    <row r="41" ht="12.75">
      <c r="B41" t="s">
        <v>400</v>
      </c>
    </row>
    <row r="42" ht="12.75">
      <c r="B42" t="s">
        <v>401</v>
      </c>
    </row>
    <row r="43" ht="12.75">
      <c r="B43" t="s">
        <v>356</v>
      </c>
    </row>
    <row r="45" spans="1:2" ht="12.75">
      <c r="A45" s="91" t="s">
        <v>129</v>
      </c>
      <c r="B45" t="s">
        <v>177</v>
      </c>
    </row>
    <row r="46" spans="1:2" ht="12.75">
      <c r="A46" s="91"/>
      <c r="B46" t="s">
        <v>179</v>
      </c>
    </row>
    <row r="47" spans="1:2" ht="12.75">
      <c r="A47" s="91"/>
      <c r="B47" t="s">
        <v>357</v>
      </c>
    </row>
    <row r="48" spans="1:2" ht="12.75">
      <c r="A48" s="91"/>
      <c r="B48" t="s">
        <v>180</v>
      </c>
    </row>
    <row r="49" spans="1:2" ht="12.75">
      <c r="A49" s="91"/>
      <c r="B49" t="s">
        <v>181</v>
      </c>
    </row>
    <row r="51" spans="1:2" ht="12.75">
      <c r="A51" s="98" t="s">
        <v>134</v>
      </c>
      <c r="B51" t="s">
        <v>182</v>
      </c>
    </row>
    <row r="52" spans="1:2" ht="12.75">
      <c r="A52" s="98"/>
      <c r="B52" t="s">
        <v>183</v>
      </c>
    </row>
    <row r="53" ht="12.75">
      <c r="B53" t="s">
        <v>184</v>
      </c>
    </row>
    <row r="55" spans="1:2" ht="12.75">
      <c r="A55" s="91" t="s">
        <v>135</v>
      </c>
      <c r="B55" t="s">
        <v>360</v>
      </c>
    </row>
    <row r="56" spans="1:2" ht="12.75">
      <c r="A56" s="91"/>
      <c r="B56" t="s">
        <v>361</v>
      </c>
    </row>
    <row r="57" spans="1:2" ht="12.75">
      <c r="A57" s="91"/>
      <c r="B57" t="s">
        <v>362</v>
      </c>
    </row>
    <row r="59" spans="1:2" ht="12.75">
      <c r="A59" s="91" t="s">
        <v>136</v>
      </c>
      <c r="B59" t="s">
        <v>130</v>
      </c>
    </row>
    <row r="60" ht="12.75">
      <c r="B60" t="s">
        <v>131</v>
      </c>
    </row>
    <row r="61" ht="12.75">
      <c r="B61" t="s">
        <v>132</v>
      </c>
    </row>
    <row r="62" ht="12.75">
      <c r="B62" t="s">
        <v>185</v>
      </c>
    </row>
    <row r="63" ht="12.75">
      <c r="B63" t="s">
        <v>133</v>
      </c>
    </row>
    <row r="65" spans="1:2" ht="12.75">
      <c r="A65" s="91" t="s">
        <v>140</v>
      </c>
      <c r="B65" t="s">
        <v>358</v>
      </c>
    </row>
    <row r="66" ht="12.75">
      <c r="B66" t="s">
        <v>359</v>
      </c>
    </row>
    <row r="68" spans="1:2" ht="12.75">
      <c r="A68" s="91" t="s">
        <v>141</v>
      </c>
      <c r="B68" t="s">
        <v>186</v>
      </c>
    </row>
    <row r="69" ht="12.75">
      <c r="B69" t="s">
        <v>187</v>
      </c>
    </row>
    <row r="70" spans="2:15" ht="12.75">
      <c r="B70" t="s">
        <v>188</v>
      </c>
      <c r="O70" s="4"/>
    </row>
    <row r="72" spans="1:2" ht="12.75">
      <c r="A72" s="91" t="s">
        <v>142</v>
      </c>
      <c r="B72" t="s">
        <v>137</v>
      </c>
    </row>
    <row r="73" ht="12.75">
      <c r="B73" t="s">
        <v>138</v>
      </c>
    </row>
    <row r="74" ht="12.75">
      <c r="B74" t="s">
        <v>139</v>
      </c>
    </row>
    <row r="75" spans="16:17" ht="12.75">
      <c r="P75" s="4"/>
      <c r="Q75" s="49"/>
    </row>
    <row r="76" spans="1:16" ht="12.75">
      <c r="A76" s="91" t="s">
        <v>144</v>
      </c>
      <c r="B76" t="s">
        <v>189</v>
      </c>
      <c r="P76" s="4"/>
    </row>
    <row r="77" ht="12.75">
      <c r="B77" t="s">
        <v>363</v>
      </c>
    </row>
    <row r="78" ht="12.75">
      <c r="B78" t="s">
        <v>364</v>
      </c>
    </row>
    <row r="80" spans="1:2" ht="12.75">
      <c r="A80" s="91" t="s">
        <v>167</v>
      </c>
      <c r="B80" t="s">
        <v>190</v>
      </c>
    </row>
    <row r="81" ht="12.75">
      <c r="B81" t="s">
        <v>191</v>
      </c>
    </row>
    <row r="82" ht="12.75">
      <c r="B82" t="s">
        <v>365</v>
      </c>
    </row>
    <row r="84" spans="1:2" ht="12.75">
      <c r="A84" s="91" t="s">
        <v>178</v>
      </c>
      <c r="B84" t="s">
        <v>175</v>
      </c>
    </row>
    <row r="86" spans="1:2" ht="12.75">
      <c r="A86" s="91" t="s">
        <v>366</v>
      </c>
      <c r="B86" t="s">
        <v>192</v>
      </c>
    </row>
    <row r="87" ht="12.75">
      <c r="B87" t="s">
        <v>193</v>
      </c>
    </row>
    <row r="88" ht="12.75">
      <c r="B88" t="s">
        <v>143</v>
      </c>
    </row>
    <row r="89" ht="12.75">
      <c r="B89" s="93" t="s">
        <v>145</v>
      </c>
    </row>
    <row r="90" ht="12.75">
      <c r="B90" s="94" t="s">
        <v>176</v>
      </c>
    </row>
    <row r="92" ht="12.75">
      <c r="B92" t="s">
        <v>194</v>
      </c>
    </row>
    <row r="93" ht="12.75">
      <c r="B93" t="s">
        <v>195</v>
      </c>
    </row>
    <row r="94" ht="12.75">
      <c r="B94" t="s">
        <v>146</v>
      </c>
    </row>
    <row r="95" ht="12.75">
      <c r="B95" t="s">
        <v>147</v>
      </c>
    </row>
    <row r="96" ht="12.75">
      <c r="B96" t="s">
        <v>148</v>
      </c>
    </row>
    <row r="97" ht="12.75">
      <c r="B97" t="s">
        <v>149</v>
      </c>
    </row>
  </sheetData>
  <sheetProtection password="9116" sheet="1" objects="1" scenarios="1"/>
  <mergeCells count="10">
    <mergeCell ref="B24:C24"/>
    <mergeCell ref="B25:C25"/>
    <mergeCell ref="B20:C20"/>
    <mergeCell ref="B21:C21"/>
    <mergeCell ref="B22:C22"/>
    <mergeCell ref="B23:C23"/>
    <mergeCell ref="B16:C16"/>
    <mergeCell ref="B17:C17"/>
    <mergeCell ref="B18:C18"/>
    <mergeCell ref="B19:C19"/>
  </mergeCells>
  <printOptions/>
  <pageMargins left="0.75" right="0.75" top="1" bottom="1" header="0.5" footer="0.5"/>
  <pageSetup orientation="portrait" r:id="rId2"/>
  <drawing r:id="rId1"/>
</worksheet>
</file>

<file path=xl/worksheets/sheet8.xml><?xml version="1.0" encoding="utf-8"?>
<worksheet xmlns="http://schemas.openxmlformats.org/spreadsheetml/2006/main" xmlns:r="http://schemas.openxmlformats.org/officeDocument/2006/relationships">
  <sheetPr codeName="Sheet10"/>
  <dimension ref="A1:C55"/>
  <sheetViews>
    <sheetView showGridLines="0" workbookViewId="0" topLeftCell="A1">
      <selection activeCell="L37" sqref="L37"/>
    </sheetView>
  </sheetViews>
  <sheetFormatPr defaultColWidth="9.140625" defaultRowHeight="12.75"/>
  <cols>
    <col min="1" max="2" width="9.140625" style="98" customWidth="1"/>
    <col min="3" max="3" width="75.7109375" style="97" customWidth="1"/>
  </cols>
  <sheetData>
    <row r="1" spans="1:3" ht="12.75">
      <c r="A1" s="103" t="s">
        <v>151</v>
      </c>
      <c r="B1" s="103" t="s">
        <v>152</v>
      </c>
      <c r="C1" s="104" t="s">
        <v>153</v>
      </c>
    </row>
    <row r="2" spans="1:3" ht="12.75">
      <c r="A2" s="105"/>
      <c r="B2" s="105"/>
      <c r="C2" s="106"/>
    </row>
    <row r="3" spans="1:3" ht="12.75">
      <c r="A3" s="99" t="s">
        <v>154</v>
      </c>
      <c r="B3" s="99" t="s">
        <v>155</v>
      </c>
      <c r="C3" s="100" t="s">
        <v>156</v>
      </c>
    </row>
    <row r="4" spans="1:3" ht="12.75">
      <c r="A4" s="101"/>
      <c r="B4" s="101"/>
      <c r="C4" s="102"/>
    </row>
    <row r="5" spans="1:3" ht="12.75">
      <c r="A5" s="105" t="s">
        <v>157</v>
      </c>
      <c r="B5" s="105" t="s">
        <v>158</v>
      </c>
      <c r="C5" s="106" t="s">
        <v>159</v>
      </c>
    </row>
    <row r="6" spans="1:3" ht="12.75">
      <c r="A6" s="99"/>
      <c r="B6" s="99"/>
      <c r="C6" s="100" t="s">
        <v>160</v>
      </c>
    </row>
    <row r="7" spans="1:3" ht="12.75">
      <c r="A7" s="99"/>
      <c r="B7" s="99"/>
      <c r="C7" s="100" t="s">
        <v>161</v>
      </c>
    </row>
    <row r="8" spans="1:3" ht="12.75">
      <c r="A8" s="99"/>
      <c r="B8" s="99"/>
      <c r="C8" s="100" t="s">
        <v>162</v>
      </c>
    </row>
    <row r="9" spans="1:3" ht="12.75">
      <c r="A9" s="99"/>
      <c r="B9" s="99"/>
      <c r="C9" s="100" t="s">
        <v>163</v>
      </c>
    </row>
    <row r="10" spans="1:3" ht="12.75">
      <c r="A10" s="99"/>
      <c r="B10" s="99"/>
      <c r="C10" s="100" t="s">
        <v>166</v>
      </c>
    </row>
    <row r="11" spans="1:3" ht="12.75">
      <c r="A11" s="101"/>
      <c r="B11" s="101"/>
      <c r="C11" s="102" t="s">
        <v>168</v>
      </c>
    </row>
    <row r="12" spans="1:3" ht="12.75">
      <c r="A12" s="108" t="s">
        <v>169</v>
      </c>
      <c r="B12" s="108" t="s">
        <v>158</v>
      </c>
      <c r="C12" s="109" t="s">
        <v>170</v>
      </c>
    </row>
    <row r="13" spans="1:3" ht="12.75">
      <c r="A13" s="105" t="s">
        <v>171</v>
      </c>
      <c r="B13" s="105" t="s">
        <v>158</v>
      </c>
      <c r="C13" s="106" t="s">
        <v>172</v>
      </c>
    </row>
    <row r="14" spans="1:3" ht="12.75">
      <c r="A14" s="99"/>
      <c r="B14" s="99"/>
      <c r="C14" s="100" t="s">
        <v>173</v>
      </c>
    </row>
    <row r="15" spans="1:3" ht="12.75">
      <c r="A15" s="101"/>
      <c r="B15" s="101"/>
      <c r="C15" s="102" t="s">
        <v>196</v>
      </c>
    </row>
    <row r="16" spans="1:3" ht="12.75">
      <c r="A16" s="105" t="s">
        <v>197</v>
      </c>
      <c r="B16" s="105" t="s">
        <v>198</v>
      </c>
      <c r="C16" s="106" t="s">
        <v>199</v>
      </c>
    </row>
    <row r="17" spans="1:3" ht="12.75">
      <c r="A17" s="99"/>
      <c r="B17" s="99"/>
      <c r="C17" s="100" t="s">
        <v>202</v>
      </c>
    </row>
    <row r="18" spans="1:3" ht="12.75">
      <c r="A18" s="99"/>
      <c r="B18" s="99"/>
      <c r="C18" s="100" t="s">
        <v>203</v>
      </c>
    </row>
    <row r="19" spans="1:3" ht="12.75">
      <c r="A19" s="101"/>
      <c r="B19" s="101"/>
      <c r="C19" s="102" t="s">
        <v>205</v>
      </c>
    </row>
    <row r="20" spans="1:3" ht="12.75">
      <c r="A20" s="108" t="s">
        <v>206</v>
      </c>
      <c r="B20" s="108" t="s">
        <v>207</v>
      </c>
      <c r="C20" s="109" t="s">
        <v>208</v>
      </c>
    </row>
    <row r="21" spans="1:3" ht="12.75">
      <c r="A21" s="105" t="s">
        <v>209</v>
      </c>
      <c r="B21" s="105" t="s">
        <v>210</v>
      </c>
      <c r="C21" s="106" t="s">
        <v>211</v>
      </c>
    </row>
    <row r="22" spans="1:3" ht="12.75">
      <c r="A22" s="99"/>
      <c r="B22" s="99"/>
      <c r="C22" s="100" t="s">
        <v>262</v>
      </c>
    </row>
    <row r="23" spans="1:3" ht="12.75">
      <c r="A23" s="99"/>
      <c r="B23" s="99"/>
      <c r="C23" s="100" t="s">
        <v>263</v>
      </c>
    </row>
    <row r="24" spans="1:3" ht="12.75">
      <c r="A24" s="101"/>
      <c r="B24" s="101"/>
      <c r="C24" s="102" t="s">
        <v>288</v>
      </c>
    </row>
    <row r="25" spans="1:3" ht="12.75">
      <c r="A25" s="105" t="s">
        <v>290</v>
      </c>
      <c r="B25" s="105" t="s">
        <v>210</v>
      </c>
      <c r="C25" s="106" t="s">
        <v>291</v>
      </c>
    </row>
    <row r="26" spans="1:3" ht="12.75">
      <c r="A26" s="99"/>
      <c r="B26" s="99"/>
      <c r="C26" s="100" t="s">
        <v>293</v>
      </c>
    </row>
    <row r="27" spans="1:3" ht="12.75">
      <c r="A27" s="101"/>
      <c r="B27" s="101"/>
      <c r="C27" s="102" t="s">
        <v>292</v>
      </c>
    </row>
    <row r="28" spans="1:3" ht="12.75">
      <c r="A28" s="105" t="s">
        <v>316</v>
      </c>
      <c r="B28" s="105" t="s">
        <v>210</v>
      </c>
      <c r="C28" s="106" t="s">
        <v>319</v>
      </c>
    </row>
    <row r="29" spans="1:3" ht="12.75">
      <c r="A29" s="99"/>
      <c r="B29" s="99"/>
      <c r="C29" s="100" t="s">
        <v>320</v>
      </c>
    </row>
    <row r="30" spans="1:3" ht="12.75">
      <c r="A30" s="99"/>
      <c r="B30" s="99"/>
      <c r="C30" s="100" t="s">
        <v>317</v>
      </c>
    </row>
    <row r="31" spans="1:3" ht="12.75">
      <c r="A31" s="101"/>
      <c r="B31" s="101"/>
      <c r="C31" s="102" t="s">
        <v>318</v>
      </c>
    </row>
    <row r="32" spans="1:3" ht="12.75">
      <c r="A32" s="108" t="s">
        <v>321</v>
      </c>
      <c r="B32" s="108" t="s">
        <v>322</v>
      </c>
      <c r="C32" s="109" t="s">
        <v>323</v>
      </c>
    </row>
    <row r="33" spans="1:3" ht="12.75">
      <c r="A33" s="105" t="s">
        <v>324</v>
      </c>
      <c r="B33" s="105" t="s">
        <v>325</v>
      </c>
      <c r="C33" s="106" t="s">
        <v>326</v>
      </c>
    </row>
    <row r="34" spans="1:3" ht="12.75">
      <c r="A34" s="99"/>
      <c r="B34" s="99"/>
      <c r="C34" s="100" t="s">
        <v>327</v>
      </c>
    </row>
    <row r="35" spans="1:3" ht="12.75">
      <c r="A35" s="99"/>
      <c r="B35" s="99"/>
      <c r="C35" s="100" t="s">
        <v>328</v>
      </c>
    </row>
    <row r="36" spans="1:3" ht="12.75">
      <c r="A36" s="99"/>
      <c r="B36" s="99"/>
      <c r="C36" s="100" t="s">
        <v>348</v>
      </c>
    </row>
    <row r="37" spans="1:3" ht="12.75">
      <c r="A37" s="99"/>
      <c r="B37" s="99"/>
      <c r="C37" s="100" t="s">
        <v>349</v>
      </c>
    </row>
    <row r="38" spans="1:3" ht="12.75">
      <c r="A38" s="99"/>
      <c r="B38" s="99"/>
      <c r="C38" s="100" t="s">
        <v>350</v>
      </c>
    </row>
    <row r="39" spans="1:3" ht="12.75">
      <c r="A39" s="99"/>
      <c r="B39" s="99"/>
      <c r="C39" s="100" t="s">
        <v>351</v>
      </c>
    </row>
    <row r="40" spans="1:3" ht="12.75">
      <c r="A40" s="99"/>
      <c r="B40" s="99"/>
      <c r="C40" s="100" t="s">
        <v>367</v>
      </c>
    </row>
    <row r="41" spans="1:3" ht="12.75">
      <c r="A41" s="101"/>
      <c r="B41" s="101"/>
      <c r="C41" s="102" t="s">
        <v>368</v>
      </c>
    </row>
    <row r="42" spans="1:3" ht="12.75">
      <c r="A42" s="105" t="s">
        <v>369</v>
      </c>
      <c r="B42" s="105" t="s">
        <v>370</v>
      </c>
      <c r="C42" s="106" t="s">
        <v>371</v>
      </c>
    </row>
    <row r="43" spans="1:3" ht="12.75">
      <c r="A43" s="99"/>
      <c r="B43" s="99"/>
      <c r="C43" s="100" t="s">
        <v>374</v>
      </c>
    </row>
    <row r="44" spans="1:3" ht="12.75">
      <c r="A44" s="99"/>
      <c r="B44" s="99"/>
      <c r="C44" s="100" t="s">
        <v>375</v>
      </c>
    </row>
    <row r="45" spans="1:3" ht="12.75">
      <c r="A45" s="99"/>
      <c r="B45" s="99"/>
      <c r="C45" s="100" t="s">
        <v>385</v>
      </c>
    </row>
    <row r="46" spans="1:3" ht="12.75">
      <c r="A46" s="101"/>
      <c r="B46" s="101"/>
      <c r="C46" s="102" t="s">
        <v>386</v>
      </c>
    </row>
    <row r="47" spans="1:3" ht="12.75">
      <c r="A47" s="108" t="s">
        <v>387</v>
      </c>
      <c r="B47" s="108" t="s">
        <v>370</v>
      </c>
      <c r="C47" s="109" t="s">
        <v>388</v>
      </c>
    </row>
    <row r="48" spans="1:3" ht="12.75">
      <c r="A48" s="108" t="s">
        <v>389</v>
      </c>
      <c r="B48" s="108" t="s">
        <v>390</v>
      </c>
      <c r="C48" s="109" t="s">
        <v>391</v>
      </c>
    </row>
    <row r="49" spans="1:3" ht="12.75">
      <c r="A49" s="108" t="s">
        <v>392</v>
      </c>
      <c r="B49" s="108" t="s">
        <v>390</v>
      </c>
      <c r="C49" s="109" t="s">
        <v>393</v>
      </c>
    </row>
    <row r="50" spans="1:3" ht="12.75">
      <c r="A50" s="108" t="s">
        <v>403</v>
      </c>
      <c r="B50" s="259" t="s">
        <v>394</v>
      </c>
      <c r="C50" s="260" t="s">
        <v>395</v>
      </c>
    </row>
    <row r="51" spans="1:3" ht="12.75">
      <c r="A51" s="105" t="s">
        <v>403</v>
      </c>
      <c r="B51" s="105" t="s">
        <v>404</v>
      </c>
      <c r="C51" s="106" t="s">
        <v>406</v>
      </c>
    </row>
    <row r="52" spans="1:3" ht="12.75">
      <c r="A52" s="99"/>
      <c r="B52" s="99"/>
      <c r="C52" s="100" t="s">
        <v>405</v>
      </c>
    </row>
    <row r="53" spans="1:3" ht="12.75">
      <c r="A53" s="101"/>
      <c r="B53" s="101"/>
      <c r="C53" s="102" t="s">
        <v>432</v>
      </c>
    </row>
    <row r="54" spans="1:3" ht="12.75">
      <c r="A54" s="105" t="s">
        <v>433</v>
      </c>
      <c r="B54" s="105" t="s">
        <v>434</v>
      </c>
      <c r="C54" s="318" t="s">
        <v>435</v>
      </c>
    </row>
    <row r="55" spans="1:3" ht="12.75">
      <c r="A55" s="101"/>
      <c r="B55" s="101"/>
      <c r="C55" s="319"/>
    </row>
  </sheetData>
  <sheetProtection password="9116" sheet="1" objects="1" scenarios="1"/>
  <mergeCells count="1">
    <mergeCell ref="C54:C55"/>
  </mergeCells>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matt.brown</cp:lastModifiedBy>
  <cp:lastPrinted>2006-08-04T19:58:35Z</cp:lastPrinted>
  <dcterms:created xsi:type="dcterms:W3CDTF">2002-06-04T00:04:37Z</dcterms:created>
  <dcterms:modified xsi:type="dcterms:W3CDTF">2006-08-10T17:39:54Z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ntativeReviewCycleID">
    <vt:i4>1247286939</vt:i4>
  </property>
  <property fmtid="{D5CDD505-2E9C-101B-9397-08002B2CF9AE}" pid="3" name="_ReviewCycleID">
    <vt:i4>1247286939</vt:i4>
  </property>
  <property fmtid="{D5CDD505-2E9C-101B-9397-08002B2CF9AE}" pid="4" name="_NewReviewCycle">
    <vt:lpwstr/>
  </property>
  <property fmtid="{D5CDD505-2E9C-101B-9397-08002B2CF9AE}" pid="5" name="_EmailEntryID">
    <vt:lpwstr>00000000F861B2E366477D479902CAB7F8B954B4070028139E73F0D80145A8C01C53B73A8C21000000038698000028139E73F0D80145A8C01C53B73A8C210000018F26EC0000</vt:lpwstr>
  </property>
</Properties>
</file>